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liya.jakupova\Documents\01_HID\01_Pricing\Fargo Pricing\Fargo_Prices_for_CUSTOMERS\2025_РОЗНИЧНЫЙ ПРАЙС FARGO\"/>
    </mc:Choice>
  </mc:AlternateContent>
  <xr:revisionPtr revIDLastSave="0" documentId="13_ncr:1_{EC043EF9-8EDD-48FD-A2A2-E33AE2D81D10}" xr6:coauthVersionLast="47" xr6:coauthVersionMax="47" xr10:uidLastSave="{00000000-0000-0000-0000-000000000000}"/>
  <bookViews>
    <workbookView xWindow="-108" yWindow="-108" windowWidth="23256" windowHeight="12456" firstSheet="5" activeTab="6" xr2:uid="{00000000-000D-0000-FFFF-FFFF00000000}"/>
  </bookViews>
  <sheets>
    <sheet name="Оглавление" sheetId="1" r:id="rId1"/>
    <sheet name="DTC1250e" sheetId="4" r:id="rId2"/>
    <sheet name="DTC1500" sheetId="22" r:id="rId3"/>
    <sheet name="DTC4250e" sheetId="23" r:id="rId4"/>
    <sheet name="DTC4500e" sheetId="24" r:id="rId5"/>
    <sheet name="5500LMX" sheetId="25" r:id="rId6"/>
    <sheet name="HDP5000e" sheetId="26" r:id="rId7"/>
    <sheet name="HDP6600" sheetId="27" r:id="rId8"/>
    <sheet name="Доп. модули" sheetId="28" r:id="rId9"/>
    <sheet name="Печат.головки" sheetId="29" r:id="rId10"/>
    <sheet name="ПО Asure ID" sheetId="30" r:id="rId11"/>
    <sheet name="Полноцв. и монохром. ленты" sheetId="31" r:id="rId12"/>
    <sheet name="Несущие ленты" sheetId="32" r:id="rId13"/>
    <sheet name="Ламинац. ленты" sheetId="33" r:id="rId14"/>
    <sheet name="Чистящие комплекты" sheetId="34" r:id="rId15"/>
    <sheet name="Карты и наклейки" sheetId="35" r:id="rId16"/>
    <sheet name="Полный прайс" sheetId="52" r:id="rId17"/>
  </sheets>
  <definedNames>
    <definedName name="k">Оглавление!#REF!</definedName>
    <definedName name="kof">#REF!</definedName>
    <definedName name="uan">#REF!</definedName>
    <definedName name="us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1" roundtripDataChecksum="CsHHOFXSmjPmDtiABs9avykND0P3pg7oFx8d7b7iiYM="/>
    </ext>
  </extLst>
</workbook>
</file>

<file path=xl/calcChain.xml><?xml version="1.0" encoding="utf-8"?>
<calcChain xmlns="http://schemas.openxmlformats.org/spreadsheetml/2006/main">
  <c r="D15" i="28" l="1"/>
  <c r="D17" i="26"/>
  <c r="D10" i="26"/>
  <c r="D9" i="26"/>
  <c r="D8" i="26"/>
  <c r="D19" i="26"/>
  <c r="D18" i="26"/>
  <c r="D16" i="26"/>
  <c r="D15" i="26"/>
  <c r="D14" i="26"/>
  <c r="D58" i="26"/>
  <c r="D57" i="26"/>
  <c r="D17" i="28"/>
  <c r="D16" i="28"/>
  <c r="D18" i="30"/>
  <c r="D6" i="24"/>
  <c r="D6" i="23"/>
  <c r="C20" i="52"/>
  <c r="F20" i="52"/>
  <c r="C51" i="52"/>
  <c r="F51" i="52"/>
  <c r="C28" i="52"/>
  <c r="D28" i="52" s="1"/>
  <c r="D51" i="52"/>
  <c r="F8" i="52"/>
  <c r="F9" i="52"/>
  <c r="F10" i="52"/>
  <c r="F11" i="52"/>
  <c r="F12" i="52"/>
  <c r="F13" i="52"/>
  <c r="F14" i="52"/>
  <c r="F15" i="52"/>
  <c r="F16" i="52"/>
  <c r="F17" i="52"/>
  <c r="F18" i="52"/>
  <c r="F19" i="52"/>
  <c r="F21" i="52"/>
  <c r="F22" i="52"/>
  <c r="F23" i="52"/>
  <c r="F24" i="52"/>
  <c r="F25" i="52"/>
  <c r="F26" i="52"/>
  <c r="F28" i="52"/>
  <c r="F29" i="52"/>
  <c r="F30" i="52"/>
  <c r="F31" i="52"/>
  <c r="F32" i="52"/>
  <c r="F33" i="52"/>
  <c r="F34" i="52"/>
  <c r="F35" i="52"/>
  <c r="F36" i="52"/>
  <c r="F37" i="52"/>
  <c r="F38" i="52"/>
  <c r="F39" i="52"/>
  <c r="F40" i="52"/>
  <c r="F41" i="52"/>
  <c r="F42" i="52"/>
  <c r="F43" i="52"/>
  <c r="F44" i="52"/>
  <c r="F45" i="52"/>
  <c r="F46" i="52"/>
  <c r="F47" i="52"/>
  <c r="F48" i="52"/>
  <c r="F49" i="52"/>
  <c r="F50" i="52"/>
  <c r="F52" i="52"/>
  <c r="F53" i="52"/>
  <c r="F54" i="52"/>
  <c r="F56" i="52"/>
  <c r="F57" i="52"/>
  <c r="F58" i="52"/>
  <c r="F59" i="52"/>
  <c r="F60" i="52"/>
  <c r="F61" i="52"/>
  <c r="F62" i="52"/>
  <c r="F63" i="52"/>
  <c r="F64" i="52"/>
  <c r="F65" i="52"/>
  <c r="F66" i="52"/>
  <c r="F68" i="52"/>
  <c r="F69" i="52"/>
  <c r="F70" i="52"/>
  <c r="F71" i="52"/>
  <c r="F72" i="52"/>
  <c r="F73" i="52"/>
  <c r="F74" i="52"/>
  <c r="F75" i="52"/>
  <c r="F76" i="52"/>
  <c r="F77" i="52"/>
  <c r="F78" i="52"/>
  <c r="F79" i="52"/>
  <c r="F81" i="52"/>
  <c r="F82" i="52"/>
  <c r="F84" i="52"/>
  <c r="F85" i="52"/>
  <c r="F86" i="52"/>
  <c r="F87" i="52"/>
  <c r="F88" i="52"/>
  <c r="F89" i="52"/>
  <c r="F90" i="52"/>
  <c r="F91" i="52"/>
  <c r="F92" i="52"/>
  <c r="F93" i="52"/>
  <c r="F94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41" i="52"/>
  <c r="E42" i="52"/>
  <c r="E43" i="52"/>
  <c r="E44" i="52"/>
  <c r="E45" i="52"/>
  <c r="E46" i="52"/>
  <c r="E47" i="52"/>
  <c r="E48" i="52"/>
  <c r="E49" i="52"/>
  <c r="E50" i="52"/>
  <c r="E52" i="52"/>
  <c r="E53" i="52"/>
  <c r="E54" i="52"/>
  <c r="E56" i="52"/>
  <c r="E57" i="52"/>
  <c r="E58" i="52"/>
  <c r="E59" i="52"/>
  <c r="E60" i="52"/>
  <c r="E61" i="52"/>
  <c r="E62" i="52"/>
  <c r="E63" i="52"/>
  <c r="E64" i="52"/>
  <c r="E65" i="52"/>
  <c r="E66" i="52"/>
  <c r="E68" i="52"/>
  <c r="E69" i="52"/>
  <c r="E70" i="52"/>
  <c r="E71" i="52"/>
  <c r="E72" i="52"/>
  <c r="E73" i="52"/>
  <c r="E74" i="52"/>
  <c r="E75" i="52"/>
  <c r="E76" i="52"/>
  <c r="E77" i="52"/>
  <c r="E78" i="52"/>
  <c r="E79" i="52"/>
  <c r="E81" i="52"/>
  <c r="E82" i="52"/>
  <c r="E84" i="52"/>
  <c r="E85" i="52"/>
  <c r="E86" i="52"/>
  <c r="E87" i="52"/>
  <c r="E88" i="52"/>
  <c r="E89" i="52"/>
  <c r="E90" i="52"/>
  <c r="E91" i="52"/>
  <c r="E92" i="52"/>
  <c r="E93" i="52"/>
  <c r="E94" i="52"/>
  <c r="D8" i="52"/>
  <c r="D9" i="52"/>
  <c r="D10" i="52"/>
  <c r="D11" i="52"/>
  <c r="D12" i="52"/>
  <c r="D13" i="52"/>
  <c r="D14" i="52"/>
  <c r="D15" i="52"/>
  <c r="D16" i="52"/>
  <c r="D17" i="52"/>
  <c r="D18" i="52"/>
  <c r="D19" i="52"/>
  <c r="D21" i="52"/>
  <c r="D22" i="52"/>
  <c r="D23" i="52"/>
  <c r="D24" i="52"/>
  <c r="D25" i="52"/>
  <c r="D26" i="52"/>
  <c r="D29" i="52"/>
  <c r="D30" i="52"/>
  <c r="D31" i="52"/>
  <c r="D32" i="52"/>
  <c r="D33" i="52"/>
  <c r="D34" i="52"/>
  <c r="D35" i="52"/>
  <c r="D36" i="52"/>
  <c r="D37" i="52"/>
  <c r="D38" i="52"/>
  <c r="D39" i="52"/>
  <c r="D40" i="52"/>
  <c r="D41" i="52"/>
  <c r="D42" i="52"/>
  <c r="D43" i="52"/>
  <c r="D44" i="52"/>
  <c r="D45" i="52"/>
  <c r="D46" i="52"/>
  <c r="D47" i="52"/>
  <c r="D48" i="52"/>
  <c r="D49" i="52"/>
  <c r="D50" i="52"/>
  <c r="D52" i="52"/>
  <c r="D53" i="52"/>
  <c r="D54" i="52"/>
  <c r="D56" i="52"/>
  <c r="D57" i="52"/>
  <c r="D58" i="52"/>
  <c r="D59" i="52"/>
  <c r="D60" i="52"/>
  <c r="D61" i="52"/>
  <c r="D62" i="52"/>
  <c r="D63" i="52"/>
  <c r="D64" i="52"/>
  <c r="D65" i="52"/>
  <c r="D66" i="52"/>
  <c r="D68" i="52"/>
  <c r="D69" i="52"/>
  <c r="D70" i="52"/>
  <c r="D71" i="52"/>
  <c r="D72" i="52"/>
  <c r="D73" i="52"/>
  <c r="D74" i="52"/>
  <c r="D75" i="52"/>
  <c r="D76" i="52"/>
  <c r="D77" i="52"/>
  <c r="D78" i="52"/>
  <c r="D79" i="52"/>
  <c r="D81" i="52"/>
  <c r="D82" i="52"/>
  <c r="D84" i="52"/>
  <c r="D85" i="52"/>
  <c r="D86" i="52"/>
  <c r="D87" i="52"/>
  <c r="D88" i="52"/>
  <c r="D89" i="52"/>
  <c r="D90" i="52"/>
  <c r="D91" i="52"/>
  <c r="D92" i="52"/>
  <c r="D93" i="52"/>
  <c r="D94" i="52"/>
  <c r="F7" i="52"/>
  <c r="E7" i="52"/>
  <c r="D7" i="52"/>
  <c r="D47" i="27"/>
  <c r="C69" i="52"/>
  <c r="C68" i="52"/>
  <c r="C94" i="52"/>
  <c r="C93" i="52"/>
  <c r="C92" i="52"/>
  <c r="C91" i="52"/>
  <c r="C90" i="52"/>
  <c r="C89" i="52"/>
  <c r="C88" i="52"/>
  <c r="C87" i="52"/>
  <c r="C86" i="52"/>
  <c r="C85" i="52"/>
  <c r="C84" i="52"/>
  <c r="C82" i="52"/>
  <c r="C81" i="52"/>
  <c r="C79" i="52"/>
  <c r="C78" i="52"/>
  <c r="C77" i="52"/>
  <c r="C76" i="52"/>
  <c r="C74" i="52"/>
  <c r="C73" i="52"/>
  <c r="C72" i="52"/>
  <c r="C71" i="52"/>
  <c r="C75" i="52"/>
  <c r="C65" i="52"/>
  <c r="C70" i="52"/>
  <c r="C63" i="52"/>
  <c r="C62" i="52"/>
  <c r="C61" i="52"/>
  <c r="C60" i="52"/>
  <c r="C59" i="52"/>
  <c r="C66" i="52"/>
  <c r="C58" i="52"/>
  <c r="C57" i="52"/>
  <c r="C56" i="52"/>
  <c r="C54" i="52"/>
  <c r="C53" i="52"/>
  <c r="C52" i="52"/>
  <c r="C50" i="52"/>
  <c r="C49" i="52"/>
  <c r="C48" i="52"/>
  <c r="C47" i="52"/>
  <c r="C46" i="52"/>
  <c r="C45" i="52"/>
  <c r="C44" i="52"/>
  <c r="C43" i="52"/>
  <c r="C42" i="52"/>
  <c r="C41" i="52"/>
  <c r="C40" i="52"/>
  <c r="C39" i="52"/>
  <c r="C38" i="52"/>
  <c r="C37" i="52"/>
  <c r="C36" i="52"/>
  <c r="C35" i="52"/>
  <c r="C34" i="52"/>
  <c r="C33" i="52"/>
  <c r="C32" i="52"/>
  <c r="C31" i="52"/>
  <c r="C30" i="52"/>
  <c r="C29" i="52"/>
  <c r="C26" i="52"/>
  <c r="C25" i="52"/>
  <c r="C24" i="52"/>
  <c r="C23" i="52"/>
  <c r="C22" i="52"/>
  <c r="C21" i="52"/>
  <c r="C19" i="52"/>
  <c r="C18" i="52"/>
  <c r="C17" i="52"/>
  <c r="C16" i="52"/>
  <c r="C15" i="52"/>
  <c r="C14" i="52"/>
  <c r="C13" i="52"/>
  <c r="C12" i="52"/>
  <c r="C11" i="52"/>
  <c r="C10" i="52"/>
  <c r="C9" i="52"/>
  <c r="C8" i="52"/>
  <c r="C7" i="52"/>
  <c r="D24" i="34"/>
  <c r="D6" i="34"/>
  <c r="D11" i="34"/>
  <c r="D18" i="34"/>
  <c r="D12" i="34"/>
  <c r="D10" i="34"/>
  <c r="D15" i="33"/>
  <c r="D61" i="31"/>
  <c r="D27" i="31"/>
  <c r="D22" i="31"/>
  <c r="D6" i="29"/>
  <c r="D49" i="27"/>
  <c r="D40" i="34"/>
  <c r="D39" i="34"/>
  <c r="D37" i="34"/>
  <c r="D44" i="27"/>
  <c r="D4" i="32"/>
  <c r="D29" i="26"/>
  <c r="D4" i="27"/>
  <c r="D13" i="31"/>
  <c r="D11" i="31"/>
  <c r="D9" i="31"/>
  <c r="D54" i="31"/>
  <c r="D53" i="31"/>
  <c r="D51" i="31"/>
  <c r="D50" i="31"/>
  <c r="D13" i="25"/>
  <c r="D12" i="25"/>
  <c r="D10" i="25"/>
  <c r="D9" i="25"/>
  <c r="D59" i="24"/>
  <c r="D42" i="24"/>
  <c r="D14" i="24"/>
  <c r="D5" i="24"/>
  <c r="D36" i="23"/>
  <c r="D34" i="31"/>
  <c r="D20" i="23"/>
  <c r="D26" i="31"/>
  <c r="D12" i="23"/>
  <c r="D8" i="35"/>
  <c r="D36" i="22"/>
  <c r="D7" i="33"/>
  <c r="D22" i="22"/>
  <c r="D16" i="22"/>
  <c r="D7" i="22"/>
  <c r="D32" i="33"/>
  <c r="D37" i="26"/>
  <c r="D51" i="26"/>
  <c r="D53" i="27"/>
  <c r="D23" i="35"/>
  <c r="D25" i="25"/>
  <c r="D24" i="25"/>
  <c r="D16" i="35"/>
  <c r="D38" i="4"/>
  <c r="D22" i="4"/>
  <c r="D20" i="4"/>
  <c r="D18" i="4"/>
  <c r="D56" i="24"/>
  <c r="D33" i="23"/>
  <c r="D33" i="22"/>
  <c r="D35" i="4"/>
  <c r="D5" i="35"/>
  <c r="D33" i="34"/>
  <c r="D46" i="27"/>
  <c r="D44" i="26"/>
  <c r="D50" i="24"/>
  <c r="D27" i="23"/>
  <c r="D27" i="22"/>
  <c r="D29" i="4"/>
  <c r="D45" i="26"/>
  <c r="D34" i="34"/>
  <c r="D19" i="25"/>
  <c r="D27" i="34"/>
  <c r="D45" i="27"/>
  <c r="D43" i="26"/>
  <c r="D49" i="24"/>
  <c r="D26" i="23"/>
  <c r="D26" i="22"/>
  <c r="D28" i="4"/>
  <c r="D5" i="34"/>
  <c r="D17" i="34"/>
  <c r="D23" i="34"/>
  <c r="D38" i="34"/>
  <c r="D32" i="34"/>
  <c r="D31" i="34"/>
  <c r="D42" i="26"/>
  <c r="D48" i="24"/>
  <c r="D25" i="23"/>
  <c r="D27" i="4"/>
  <c r="D22" i="34"/>
  <c r="D16" i="34"/>
  <c r="D4" i="34"/>
  <c r="D30" i="34"/>
  <c r="D41" i="26"/>
  <c r="D3" i="35"/>
  <c r="D54" i="24"/>
  <c r="D31" i="23"/>
  <c r="D31" i="22"/>
  <c r="D33" i="4"/>
  <c r="D4" i="35"/>
  <c r="D20" i="52" l="1"/>
  <c r="E51" i="52"/>
  <c r="D15" i="23"/>
  <c r="D29" i="31"/>
  <c r="D11" i="25"/>
  <c r="D52" i="31"/>
  <c r="D49" i="31"/>
  <c r="D8" i="25"/>
  <c r="D13" i="23"/>
  <c r="D61" i="27"/>
  <c r="D63" i="27"/>
  <c r="D62" i="27"/>
  <c r="D60" i="27"/>
  <c r="D59" i="27"/>
  <c r="D58" i="27"/>
  <c r="D57" i="27"/>
  <c r="D56" i="27"/>
  <c r="D56" i="26"/>
  <c r="D55" i="26"/>
  <c r="D54" i="26"/>
  <c r="D41" i="23"/>
  <c r="D20" i="28"/>
  <c r="D14" i="28"/>
  <c r="D13" i="28"/>
  <c r="D12" i="28"/>
  <c r="D12" i="26"/>
  <c r="D7" i="26"/>
  <c r="D11" i="26"/>
  <c r="D6" i="26"/>
  <c r="D26" i="26"/>
  <c r="D25" i="26"/>
  <c r="D22" i="35" l="1"/>
  <c r="D21" i="35"/>
  <c r="D18" i="35"/>
  <c r="D17" i="35"/>
  <c r="D15" i="35"/>
  <c r="D14" i="35"/>
  <c r="D10" i="35"/>
  <c r="D9" i="35"/>
  <c r="D7" i="35"/>
  <c r="D6" i="35"/>
  <c r="D21" i="34"/>
  <c r="D15" i="34"/>
  <c r="D9" i="34"/>
  <c r="D3" i="34"/>
  <c r="D39" i="33"/>
  <c r="D38" i="33"/>
  <c r="D37" i="33"/>
  <c r="D34" i="33"/>
  <c r="D33" i="33"/>
  <c r="D31" i="33"/>
  <c r="D30" i="33"/>
  <c r="D29" i="33"/>
  <c r="D28" i="33"/>
  <c r="D27" i="33"/>
  <c r="D26" i="33"/>
  <c r="D23" i="33"/>
  <c r="D22" i="33"/>
  <c r="D21" i="33"/>
  <c r="D18" i="33"/>
  <c r="D17" i="33"/>
  <c r="D16" i="33"/>
  <c r="D14" i="33"/>
  <c r="D13" i="33"/>
  <c r="D12" i="33"/>
  <c r="D11" i="33"/>
  <c r="D8" i="33"/>
  <c r="D6" i="33"/>
  <c r="D5" i="33"/>
  <c r="D4" i="33"/>
  <c r="D3" i="33"/>
  <c r="D8" i="32"/>
  <c r="D7" i="32"/>
  <c r="D3" i="32"/>
  <c r="D68" i="31"/>
  <c r="D67" i="31"/>
  <c r="D66" i="31"/>
  <c r="D65" i="31"/>
  <c r="D64" i="31"/>
  <c r="D60" i="31"/>
  <c r="D59" i="31"/>
  <c r="D58" i="31"/>
  <c r="D57" i="31"/>
  <c r="D46" i="31"/>
  <c r="D45" i="31"/>
  <c r="D44" i="31"/>
  <c r="D43" i="31"/>
  <c r="D42" i="31"/>
  <c r="D41" i="31"/>
  <c r="D40" i="31"/>
  <c r="D39" i="31"/>
  <c r="D36" i="31"/>
  <c r="D35" i="31"/>
  <c r="D33" i="31"/>
  <c r="D32" i="31"/>
  <c r="D31" i="31"/>
  <c r="D30" i="31"/>
  <c r="D28" i="31"/>
  <c r="D25" i="31"/>
  <c r="D21" i="31"/>
  <c r="D20" i="31"/>
  <c r="D19" i="31"/>
  <c r="D18" i="31"/>
  <c r="D15" i="31"/>
  <c r="D14" i="31"/>
  <c r="D12" i="31"/>
  <c r="D10" i="31"/>
  <c r="D8" i="31"/>
  <c r="D7" i="31"/>
  <c r="D6" i="31"/>
  <c r="D5" i="31"/>
  <c r="D4" i="31"/>
  <c r="D16" i="30"/>
  <c r="D15" i="30"/>
  <c r="D14" i="30"/>
  <c r="D13" i="30"/>
  <c r="D12" i="30"/>
  <c r="D11" i="30"/>
  <c r="D10" i="30"/>
  <c r="D7" i="30"/>
  <c r="D6" i="30"/>
  <c r="D5" i="30"/>
  <c r="D4" i="30"/>
  <c r="D9" i="28"/>
  <c r="D8" i="28"/>
  <c r="D7" i="28"/>
  <c r="D6" i="28"/>
  <c r="D5" i="28"/>
  <c r="D4" i="28"/>
  <c r="D3" i="28"/>
  <c r="D2" i="28"/>
  <c r="D4" i="29"/>
  <c r="D2" i="29"/>
  <c r="D42" i="27"/>
  <c r="D41" i="27"/>
  <c r="D40" i="27"/>
  <c r="D37" i="27"/>
  <c r="D35" i="27"/>
  <c r="D34" i="27"/>
  <c r="D33" i="27"/>
  <c r="D32" i="27"/>
  <c r="D31" i="27"/>
  <c r="D29" i="27"/>
  <c r="D28" i="27"/>
  <c r="D27" i="27"/>
  <c r="D26" i="27"/>
  <c r="D25" i="27"/>
  <c r="D24" i="27"/>
  <c r="D23" i="27"/>
  <c r="D22" i="27"/>
  <c r="D20" i="27"/>
  <c r="D19" i="27"/>
  <c r="D18" i="27"/>
  <c r="D17" i="27"/>
  <c r="D11" i="27"/>
  <c r="D10" i="27"/>
  <c r="D16" i="27"/>
  <c r="D15" i="27"/>
  <c r="D14" i="27"/>
  <c r="D13" i="27"/>
  <c r="D12" i="27"/>
  <c r="D9" i="27"/>
  <c r="D8" i="27"/>
  <c r="D7" i="27"/>
  <c r="D6" i="27"/>
  <c r="D5" i="27"/>
  <c r="D52" i="27"/>
  <c r="D51" i="27"/>
  <c r="D38" i="27"/>
  <c r="D47" i="26"/>
  <c r="D39" i="26"/>
  <c r="D38" i="26"/>
  <c r="D36" i="26"/>
  <c r="D35" i="26"/>
  <c r="D34" i="26"/>
  <c r="D33" i="26"/>
  <c r="D32" i="26"/>
  <c r="D31" i="26"/>
  <c r="D28" i="26"/>
  <c r="D24" i="26"/>
  <c r="D23" i="26"/>
  <c r="D22" i="26"/>
  <c r="D5" i="26"/>
  <c r="D4" i="26"/>
  <c r="D50" i="26"/>
  <c r="D49" i="26"/>
  <c r="D17" i="25"/>
  <c r="D16" i="25"/>
  <c r="D15" i="25"/>
  <c r="D6" i="25"/>
  <c r="D5" i="25"/>
  <c r="D4" i="25"/>
  <c r="D27" i="25"/>
  <c r="D26" i="25"/>
  <c r="D23" i="25"/>
  <c r="D21" i="25"/>
  <c r="D43" i="24"/>
  <c r="D41" i="24"/>
  <c r="D40" i="24"/>
  <c r="D39" i="24"/>
  <c r="D38" i="24"/>
  <c r="D45" i="24"/>
  <c r="D44" i="24"/>
  <c r="D36" i="24"/>
  <c r="D35" i="24"/>
  <c r="D34" i="24"/>
  <c r="D33" i="24"/>
  <c r="D32" i="24"/>
  <c r="D31" i="24"/>
  <c r="D30" i="24"/>
  <c r="D29" i="24"/>
  <c r="D27" i="24"/>
  <c r="D26" i="24"/>
  <c r="D25" i="24"/>
  <c r="D24" i="24"/>
  <c r="D23" i="24"/>
  <c r="D22" i="24"/>
  <c r="D21" i="24"/>
  <c r="D20" i="24"/>
  <c r="D19" i="24"/>
  <c r="D17" i="24"/>
  <c r="D16" i="24"/>
  <c r="D15" i="24"/>
  <c r="D13" i="24"/>
  <c r="D18" i="24"/>
  <c r="D11" i="24"/>
  <c r="D10" i="24"/>
  <c r="D12" i="24"/>
  <c r="D7" i="24"/>
  <c r="D9" i="24"/>
  <c r="D8" i="24"/>
  <c r="D4" i="24"/>
  <c r="D61" i="24"/>
  <c r="D60" i="24"/>
  <c r="D58" i="24"/>
  <c r="D57" i="24"/>
  <c r="D55" i="24"/>
  <c r="D52" i="24"/>
  <c r="D47" i="24"/>
  <c r="D19" i="23"/>
  <c r="D18" i="23"/>
  <c r="D17" i="23"/>
  <c r="D9" i="23"/>
  <c r="D8" i="23"/>
  <c r="D7" i="23"/>
  <c r="D5" i="23"/>
  <c r="D4" i="23"/>
  <c r="D38" i="23"/>
  <c r="D37" i="23"/>
  <c r="D35" i="23"/>
  <c r="D34" i="23"/>
  <c r="D32" i="23"/>
  <c r="D29" i="23"/>
  <c r="D24" i="23"/>
  <c r="D22" i="23"/>
  <c r="D21" i="23"/>
  <c r="D16" i="23"/>
  <c r="D14" i="23"/>
  <c r="D11" i="23"/>
  <c r="D23" i="22"/>
  <c r="D21" i="22"/>
  <c r="D20" i="22"/>
  <c r="D19" i="22"/>
  <c r="D18" i="22"/>
  <c r="D15" i="22"/>
  <c r="D14" i="22"/>
  <c r="D13" i="22"/>
  <c r="D12" i="22"/>
  <c r="D10" i="22"/>
  <c r="D9" i="22"/>
  <c r="D8" i="22"/>
  <c r="D5" i="22"/>
  <c r="D6" i="22"/>
  <c r="D4" i="22"/>
  <c r="D38" i="22"/>
  <c r="D37" i="22"/>
  <c r="D35" i="22"/>
  <c r="D34" i="22"/>
  <c r="D32" i="22"/>
  <c r="D29" i="22"/>
  <c r="D25" i="22"/>
  <c r="D40" i="4"/>
  <c r="D39" i="4"/>
  <c r="D37" i="4"/>
  <c r="D36" i="4"/>
  <c r="D34" i="4"/>
  <c r="D31" i="4"/>
  <c r="D26" i="4"/>
  <c r="D24" i="4"/>
  <c r="D23" i="4"/>
  <c r="D21" i="4"/>
  <c r="D19" i="4"/>
  <c r="D17" i="4"/>
  <c r="D16" i="4"/>
  <c r="D15" i="4"/>
  <c r="D14" i="4"/>
  <c r="D13" i="4"/>
  <c r="D11" i="4"/>
  <c r="D10" i="4"/>
  <c r="D9" i="4"/>
  <c r="D8" i="4"/>
  <c r="D7" i="4"/>
  <c r="D6" i="4"/>
  <c r="D5" i="4"/>
  <c r="D4" i="4"/>
</calcChain>
</file>

<file path=xl/sharedStrings.xml><?xml version="1.0" encoding="utf-8"?>
<sst xmlns="http://schemas.openxmlformats.org/spreadsheetml/2006/main" count="1249" uniqueCount="619">
  <si>
    <t>(модели, опции и расходные материалы)</t>
  </si>
  <si>
    <t>1.1</t>
  </si>
  <si>
    <t>1.2</t>
  </si>
  <si>
    <t>1.3</t>
  </si>
  <si>
    <t>1.6</t>
  </si>
  <si>
    <t>1.7</t>
  </si>
  <si>
    <t>1.8</t>
  </si>
  <si>
    <t>1.5</t>
  </si>
  <si>
    <t>1.9</t>
  </si>
  <si>
    <t>Полноцветные и монохромные ленты</t>
  </si>
  <si>
    <t>Программное обеспечение</t>
  </si>
  <si>
    <t>Внутренние курсы валют</t>
  </si>
  <si>
    <t>Артикул</t>
  </si>
  <si>
    <t>Наименование</t>
  </si>
  <si>
    <t>Ленты для печати</t>
  </si>
  <si>
    <t>YMCK</t>
  </si>
  <si>
    <t>YMCKK</t>
  </si>
  <si>
    <t>YMCKO</t>
  </si>
  <si>
    <t>YMCKH</t>
  </si>
  <si>
    <t>Печатающие головки</t>
  </si>
  <si>
    <t xml:space="preserve">Принтеры HID Fargo для печати на пластиковых картах </t>
  </si>
  <si>
    <t>Fargo DTC1250e</t>
  </si>
  <si>
    <t>Fargo DTC1500</t>
  </si>
  <si>
    <t>Fargo DTC4250e</t>
  </si>
  <si>
    <t>Fargo DTC4500e</t>
  </si>
  <si>
    <t>1.4</t>
  </si>
  <si>
    <t>Fargo 5500LMX</t>
  </si>
  <si>
    <t>Fargo HDP5000</t>
  </si>
  <si>
    <t>Fargo HDP6600</t>
  </si>
  <si>
    <t>Оригинальные расходные материалы Fargo</t>
  </si>
  <si>
    <t>Asure ID</t>
  </si>
  <si>
    <t>Дополнительные модули</t>
  </si>
  <si>
    <t>Оригинальные карты и наклейки Fargo</t>
  </si>
  <si>
    <t>Несущие ленты для принтеров HDP</t>
  </si>
  <si>
    <t>2.1</t>
  </si>
  <si>
    <t>Комплекты для чистки</t>
  </si>
  <si>
    <t>Ламинационные ленты</t>
  </si>
  <si>
    <t>3.1</t>
  </si>
  <si>
    <t>3.2</t>
  </si>
  <si>
    <t>3.3</t>
  </si>
  <si>
    <t>3.4</t>
  </si>
  <si>
    <t>3.5</t>
  </si>
  <si>
    <t>USD</t>
  </si>
  <si>
    <t>₸</t>
  </si>
  <si>
    <t>DTC1250e -  Принтер прямой печати с разрешением 300 dpi</t>
  </si>
  <si>
    <t>Розница</t>
  </si>
  <si>
    <t>DTC1250e SS Карт-принтер FARGO DTC1250e SS + Eth для односторонней печати. Базовая модель+Ethernet с внутренним сервером печати</t>
  </si>
  <si>
    <t>DTC1250e DS Карт-принтер FARGO DTC1250e DS + Eth для двусторонней печати. Базовая модель+Ethernet с внутренним сервером печати</t>
  </si>
  <si>
    <t>DTC1250e SS Карт-принтер FARGO DTC1250e SS +Eth +MAG
для односторонней печати. Базовая модель + Ethernet с внутренним сервером печати + кодировщик магнитной полосы ISO</t>
  </si>
  <si>
    <t>DTC1250e SS Карт-принтер FARGO DTC1250e SS + MAG для односторонней печати. Базовая модель + кодировщик магнитной полосы ISO</t>
  </si>
  <si>
    <t>DTC1250e DS Карт-принтер FARGO DTC1250e DS + MAG для двусторонней печати. Базовая модель + кодировщик магнитной полосы ISO</t>
  </si>
  <si>
    <t>045000</t>
  </si>
  <si>
    <t>045010</t>
  </si>
  <si>
    <t>045014</t>
  </si>
  <si>
    <t>045015</t>
  </si>
  <si>
    <t>045029</t>
  </si>
  <si>
    <t>044261</t>
  </si>
  <si>
    <t>DTC1250e DS Карт-принтер FARGO DTC1250e DS +Eth +MAG для двусторонней печати. Базовая модель + Ethernet с внутренним сервером печати + кодировщик магнитной полосы ISO</t>
  </si>
  <si>
    <t>EZ YMCKO</t>
  </si>
  <si>
    <t>EZ YMCKOK</t>
  </si>
  <si>
    <t>ECO YMCKO</t>
  </si>
  <si>
    <t>Многоразовый картридж с лентой и чистящим валиком. Для DTC1250e. Полноцветная лента с полимерной черной панелью, прозрачным защитным слоем - 250 отпечатков</t>
  </si>
  <si>
    <t>Картридж для лент (ленты приобретаются отдельно)</t>
  </si>
  <si>
    <t>Многоразовый картридж с лентой и чистящим валиком. Для DTC1250e. Полноцветная лента с двумя полимерными чёрными панелями и прозрачным защитным слоем – 200 отпечатков</t>
  </si>
  <si>
    <t>Многоразовый картридж с полупанельной лентой и чистящим валиком. Для DTC1250e. Полноцветная полупанельная лента с полимерной чёрной панелью и прозрачным защитным слоем – 350 отпечатков</t>
  </si>
  <si>
    <t>Полноцветная лента с полимерной черной панелью, прозрачным защитным слоем - 250 отпечатков (картридж приобретается отдельно)</t>
  </si>
  <si>
    <t>Полупанельная полноцветная лента с полимерной черной панелью, прозрачным защитным слоем - 350 отпечатков (картридж приобретается отдельно)</t>
  </si>
  <si>
    <t>045101</t>
  </si>
  <si>
    <t>045106</t>
  </si>
  <si>
    <t>045102</t>
  </si>
  <si>
    <t>EZ Premium Resign Black</t>
  </si>
  <si>
    <t>EZ Standard Resign Black</t>
  </si>
  <si>
    <t>EZ White Cartridge</t>
  </si>
  <si>
    <t>ECO Refillable Cartridge</t>
  </si>
  <si>
    <t>Многоразовый картридж с лентой и чистящим валиком. Для DTC1250e/DTC4250e. Полимерная улучшенная ЧЕРНАЯ лента - 1000 отпечатков</t>
  </si>
  <si>
    <t>Многоразовый картридж с лентой и чистящим валиком. Для DTC1250e/DTC4250e.Полимерная стандартная ЧЕРНАЯ лента – 1000 отпечатков</t>
  </si>
  <si>
    <t>Многоразовый картридж с лентой и чистящим валиком. Для DTC1250e/DTC4250e. Сублимационная БЕЛАЯ лента - 1000 отпечатков</t>
  </si>
  <si>
    <t>045130</t>
  </si>
  <si>
    <t>045111</t>
  </si>
  <si>
    <t>EZ KO Cartridge</t>
  </si>
  <si>
    <t>EZ Gold Metallic Cartridge</t>
  </si>
  <si>
    <t>ECO Standard Black</t>
  </si>
  <si>
    <t>Многоразовый картридж с лентой и чистящим валиком.  Для DTC1250e/DTC4250e. Сублимационная лента “ЗОЛОТОЙ металлик” - 500 отпечатков</t>
  </si>
  <si>
    <t>Лента и чистящий валик. Для DTC1250e/DTC4250e. Полимерная стандартная ЧЕРНАЯ лента (для многоразового картриджа) – 1000 отпечатков</t>
  </si>
  <si>
    <t>Многоразовый картридж с лентой и чистящим валиком. Для DTC1250e/DTC4250e. Полимерная улучшенная ЧЕРНАЯ лента с прозрачным защитным слоем - 500 отпечатков</t>
  </si>
  <si>
    <t>Чистящий комплект (комплектация: 4 чистящие палочки, 10 чистящих карт). Для DTC1250e/DTC4250e/4500e.</t>
  </si>
  <si>
    <t>Двусторонние чистящие карты, 50 шт. Упаковка 50 чистящих карт с двусторонним липким слоем - 50 штук. Для DTC1250e/DTC4250e/4500e/HDP5000</t>
  </si>
  <si>
    <t>Чистящие карты с изопропиловым спиртом на 5 000 отпечатков - 10 штук. Для DTC1250e/DTC4250e/DTC4500e/HDP5000</t>
  </si>
  <si>
    <t>Чистящие материалы для принтера DTC1250e</t>
  </si>
  <si>
    <t>Печатающая головка для принтера DTC1250e</t>
  </si>
  <si>
    <t>Карты и наклейки, рекомендованные для печати на принтере DTC1250e</t>
  </si>
  <si>
    <t>Наклейка самоклеющаяся UltraCard, СR-79, Белая, 10mil (0,25мм), 500 штук</t>
  </si>
  <si>
    <t>Наклейка самоклеющаяся UltraCard, CR-80, Белая, 10mil (0,25мм), 500 штук</t>
  </si>
  <si>
    <t>Карта пластиковая UltraCard, CR-80, Белая, 10mil (0,25мм), 1000 штук</t>
  </si>
  <si>
    <t>Карта пластиковая UltraCard, CR-80, Белая, 30mil (0,76мм), 500 штук</t>
  </si>
  <si>
    <t>Карта пластиковая UltraCard, CR-80, Белая, 30mil (0,76мм), с магнитной полосой высокой коэрцетивности, 500 штук</t>
  </si>
  <si>
    <t>Карта пластиковая UltraCard, СR-80, Белая, 30mil (0,76мм), с магнитной полосой низкой коэрцетивности, 500 штук</t>
  </si>
  <si>
    <t>HID 82136. Усиленные композитные пластиковые карты FARGO UltraCard Premium СR-80, Белая, 30mil (0,76мм), 500 шт.</t>
  </si>
  <si>
    <t>HID 82137. Усиленные композитные пластиковые карты FARGO UltraCard Premium СR-80, Белая, 30mil (0,76м) с магнитной полосой высокой коэрцетивности, 500 шт</t>
  </si>
  <si>
    <t>DTC1500 -  Принтер прямой печати с разрешением 300 dpi</t>
  </si>
  <si>
    <t>Печатающая головка для принтера DTC1500</t>
  </si>
  <si>
    <t>Карты и наклейки, рекомендованные для печати на принтере DTC1500</t>
  </si>
  <si>
    <t>Чистящие материалы для принтера DTC1500</t>
  </si>
  <si>
    <t>Карт-принтер FARGO DTC1500 DS LAM1 Профессиональный ДВУсторонний сублимационный принтер-кодировщик HID FARGO DTC1500 DS LAM1 для полноцветной, монохромной печати и ОДНОсторонней ламинации пластиковых карт. Технология печати DTC. Термоперезапись. Входной лоток на 100 карт. Выходной лоток на 100 карт. USB, Ethernet. Базовая модель +модуль ОДНОсторонней ламинации</t>
  </si>
  <si>
    <t>Профессиональный ОДНОсторонний сублимационный принтер-кодировщик HID FARGO DTC1500 SS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Активация двусторонней печати программным образом (платная опция 047736).</t>
  </si>
  <si>
    <t>Карт-принтер FARGO DTC1500 DS Профессиональный ДВУсторонний сублимационный принтер-кодировщик HID FARGO DTC1500 DS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Ethernet. Гарантия 3 года. Базовая модель</t>
  </si>
  <si>
    <t>Профессиональный ОДНОсторонний сублимационный принтер-кодировщик HID FARGO DTC1500 SS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+ кодировщик магнитной полосы. Активация двусторонней печати программным образом (платная опция 047736).</t>
  </si>
  <si>
    <t>Карт-принтер FARGO DTC1500 DS Профессиональный ДВУсторонний сублимационный принтер-кодировщик HID FARGO DTC1500 DS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+ кодировщик магнитной полосы. Гарантия 3 года. Базовая модель</t>
  </si>
  <si>
    <t>Карт-принтер FARGO DTC1500 DS LAM1 +MAG Профессиональный ДВУсторонний сублимационный принтер-кодировщик HID FARGO DTC1500 DS LAM1 для полноцветной, монохромной печати и ОДНОсторонней ламинации пластиковых карт. Технология печати DTC. Термоперезапись. Входной лоток на 100 карт. Выходной лоток на 100 карт. USB, Ethernet. Базовая модель +модуль ОДНОсторонней ламинации+Кодировщик магнитной полосы ISO</t>
  </si>
  <si>
    <t>Многоразовый картридж с лентой и чистящим валиком. Для DTC1500. Полноцветная лента с полимерной черной панелью, прозрачным защитным слоем - 500 отпечатков</t>
  </si>
  <si>
    <t>45610</t>
  </si>
  <si>
    <t>045611</t>
  </si>
  <si>
    <t>YMCKOK</t>
  </si>
  <si>
    <t>Полноцветная лента с двумя полимерными чёрными панелями и прозрачным защитным слоем + чистящий валик– 500 отпечатков</t>
  </si>
  <si>
    <t>045612</t>
  </si>
  <si>
    <t>Полноцветная лента с двумя полимерными чёрными панелями + чистящий валик – 500 отпечатков</t>
  </si>
  <si>
    <t>045616</t>
  </si>
  <si>
    <t>045617</t>
  </si>
  <si>
    <t>Resin Black</t>
  </si>
  <si>
    <t>Resin White</t>
  </si>
  <si>
    <t>Лента с полимерной черной панелью 3000 отпечатков</t>
  </si>
  <si>
    <t>Лента с полимерной белой панелью 2000 отпечатков</t>
  </si>
  <si>
    <t>Ламинационные материалы для принтера DTC1500</t>
  </si>
  <si>
    <t xml:space="preserve">Ламинационная лента FARGO PolyGuard 0.60 mil Лента ламинационная повышенной прочности чистая, толщина 0.0152 мм - 250 отпечатков. </t>
  </si>
  <si>
    <t>Ламинационная лента FARGO PolyGuard 1.00 mil Лента ламинационная повышенной прочности чистая, толщина 0.0253 мм - 250 отпечатков.</t>
  </si>
  <si>
    <t xml:space="preserve"> Ламинационная лента FARGO с голограммой PolyGuard 0.60 mil: Лента ламинационная повышенной прочности с голограммой высокого разрешения "Орбита", универсальное расположение голограммы, толщина 0.0152 мм - 250 отпечатков</t>
  </si>
  <si>
    <t xml:space="preserve"> Ламинационная лента FARGO с голограммой PolyGuard 1.00 mil: Лента ламинационная повышенной прочности с голограммой высокого разрешения "Орбита", универсальное расположение голограммы, толщина 0.0253 мм - 250 отпечатков.</t>
  </si>
  <si>
    <t>Ламинационная лента FARGO PolyGuard 0.60 mil 1/2 для карт с магнитной полосой PolyGuard 0.60 mil 1/2: Ламинационная лента повышенной прочности, чистая, полупанельная для стороны карты с магнитной полосой (только в картридж 2), толщина 0.0152 мм - 250 отпечатков.</t>
  </si>
  <si>
    <t>Ламинационная лента FARGO PolyGuard 1.00 mil 1/2 для карт с магнитной полосой PolyGuard 1.00 mil: Лента ламинационная полупанельная повышенной прочности чистая для стороны карты с магнитной полосой (только в картридж 2), толщина 0.0253 мм - 250 отпечатков.</t>
  </si>
  <si>
    <t>DTC4250e -  Принтер прямой печати с разрешением 300 dpi</t>
  </si>
  <si>
    <t>Чистящие материалы для принтера DTC4250e</t>
  </si>
  <si>
    <t>Печатающая головка для принтера DTC4250e</t>
  </si>
  <si>
    <t>Карты и наклейки, рекомендованные для печати на принтере DTC4250e</t>
  </si>
  <si>
    <t>DTC4250e SS ОДНОсторонний. Стандартный входной накопитель на 100 карт. Базовая модель, USB, Ethernet, внутренний сервер печати</t>
  </si>
  <si>
    <t>DTC4250e DS ДВУсторонний. Стандартный входной накопитель на 100 карт. Базовая модель, USB, Ethernet, внутренний сервер печати</t>
  </si>
  <si>
    <t>Принтер DTC4250e SS +MAG ОДНОсторонний. Стандартный входной накопитель на 100 карт. Базовая модель +Кодировщик магнитной полосы ISO</t>
  </si>
  <si>
    <t>Система персонализации карт FARGO DTC4250e SS System
Комплект: Принтер-кодировщик HID FARGO DTC4250e SS. ОДНОсторонний. Базовая модель +Цифровая high-end USB WEB-камера; +ПО AsureID 7 Express +Многоразовый картридж (EZ) c полноцветной печатной лентой YMCKO (250 отпечатков) и чистящим валиком; +Пластиковые карты UltraCard™ - 300 шт.; +Чистящие валики - 3 шт.; +USB кабель</t>
  </si>
  <si>
    <r>
      <rPr>
        <b/>
        <sz val="9"/>
        <color theme="1"/>
        <rFont val="Arial Cyr"/>
      </rPr>
      <t>DTC1250e SS Карт-принтер FARGO DTC1250e SS для односторонней печати. Базовая модель</t>
    </r>
  </si>
  <si>
    <r>
      <t>DTC1250e DS</t>
    </r>
    <r>
      <rPr>
        <b/>
        <sz val="9"/>
        <color theme="1"/>
        <rFont val="Arial Cyr"/>
      </rPr>
      <t xml:space="preserve"> Карт-принтер FARGO DTC1250e DS для двусторонней печати. Базовая модель</t>
    </r>
  </si>
  <si>
    <t>Принтер DTC4250e DS +MAG ДВУсторонний. Стандартный входной лоток на 100 карт. Базовая модель +Кодировщик магнитной полосы ISO</t>
  </si>
  <si>
    <t>045100</t>
  </si>
  <si>
    <t>YMCKO EZ</t>
  </si>
  <si>
    <t>Многоразовый картридж с лентой и чистящим валиком. Для DTC4250e. Полноцветная лента с полимерной чёрной панелью и прозрачным защитным слоем – 250 отпечатков</t>
  </si>
  <si>
    <t>YMCFKO EZ</t>
  </si>
  <si>
    <t>YMCFKOK EZ</t>
  </si>
  <si>
    <t>Многоразовый картридж с лентой и чистящим валиком. Для DTC4250e. Полноцветная лента с полимерной чёрной панелью, прозрачным защитным слоем и ультрафиолетовой панелью - 200 отпечатков</t>
  </si>
  <si>
    <t>Многоразовый картридж с лентой и чистящим валиком. Для DTC4250e. Полноцветная лента с двумя полимерными чёрными панелями и прозрачным защитным слоем – 200 отпечатков</t>
  </si>
  <si>
    <t xml:space="preserve">YMCKO 1/2 EZ </t>
  </si>
  <si>
    <t>Многоразовый картридж с лентой и чистящим валиком. Для DTC4250e. Полноцветная ПОЛУпанельная лента с полимерной черной панелью, прозрачным защитным слоем - 350 отпечатков</t>
  </si>
  <si>
    <t>DTC4500e -  Принтер прямой печати с разрешением 300 dpi</t>
  </si>
  <si>
    <t>Печатающая головка для принтера DTC4500e</t>
  </si>
  <si>
    <t>Карты и наклейки, рекомендованные для печати на принтере DTC4500e</t>
  </si>
  <si>
    <t>Принтер DTC4500e SS ОДНОсторонний. Стандартный двойной входной лоток на 200 карт. Базовая модель</t>
  </si>
  <si>
    <t>Принтер DTC4500e DS ДВУсторонний. Стандартный двойной входной лоток на 200 карт. Базовая модель</t>
  </si>
  <si>
    <t>Принтер DTC4500e SS +MAG ОДНОсторонний. Стандартный двойной входной лоток на 200 карт. Базовая модель +Кодировщик магнитной полосы ISO</t>
  </si>
  <si>
    <t>Принтер DTC4500e SS ОДНОсторонний. Стандартный двойной входной лоток на 200 карт с замком. Базовая модель</t>
  </si>
  <si>
    <t>Принтер DTC4500e SS +MAG ОДНОсторонний. Стандартный двойной входной лоток на 200 карт с замком. Базовая модель +Кодировщик магнитной полосы ISO</t>
  </si>
  <si>
    <t>Принтер DTC4500e SS ОДНОсторонний. Комбинированный входной-выходной лоток для карт. Базовая модель</t>
  </si>
  <si>
    <t>Принтер DTC4500e SS +MAG ОДНОсторонний. Комбинированный входной-выходной лоток для карт. Базовая модель +Кодировщик магнитной полосы ISO</t>
  </si>
  <si>
    <t>Принтер DTC4500e SS ОДНОсторонний. Комбинированный входной-выходной лоток для карт с замком. Базовая модель</t>
  </si>
  <si>
    <t>Принтер DTC4500e SS +MAG ОДНОсторонний. Комбинированный входной-выходной лоток для карт с замком. Базовая модель +Кодировщик магнитной полосы ISO</t>
  </si>
  <si>
    <t>Принтер DTC4500e DS +MAG ДВУсторонний. Стандартный двойной входной лоток на 200 карт. Базовая модель +Кодировщик магнитной полосы ISO</t>
  </si>
  <si>
    <t>Система персонализации карт FARGO DTC4500e SS System
Комплект: Принтер-кодировщик HID FARGO DTC4500e SS. ОДНОсторонний. Базовая модель +Цифровая high-end USB WEB-камера; +ПО AsureID 7 Express +Полноцветная печатная лента YMCKO (500 отпечатков) и чистящим валиком; +Пластиковые карты UltraCard™ - 300 шт.; +Чистящие валики - 3 шт.; +USB кабель</t>
  </si>
  <si>
    <t>Принтер DTC4500e DS ДВУсторонний. Стандартный двойной входной лоток на 200 карт с замком. Базовая модель</t>
  </si>
  <si>
    <t>Принтер DTC4500e DS +MAG ДВУсторонний. Стандартный двойной входной лоток на 200 карт с замком. Базовая модель +Кодировщик магнитной полосы ISO</t>
  </si>
  <si>
    <t>Принтер DTC4500e DS ДВУсторонний. Комбинированный входной-выходной лоток для карт. Базовая модель</t>
  </si>
  <si>
    <t>Принтер DTC4500e DS ДВУсторонний. Комбинированный входной-выходной лоток для карт с замком. Базовая модель</t>
  </si>
  <si>
    <t>Принтер DTC4500e DS +MAG ДВУсторонний. Комбинированный входной-выходной лоток для карт с замком. Базовая модель +Кодировщик магнитной полосы ISO</t>
  </si>
  <si>
    <t>Принтер DTC4500e DS LAM1 +MAG ДВУсторонний. Стандартный двойной входной лоток на 200 карт. Базовая модель с модулем односторонней ламинации +Кодировщик магнитной полосы ISO</t>
  </si>
  <si>
    <t>Принтер DTC4500e DS LAM1 ДВУсторонний. Стандартный двойной входной лоток на 200 карт с замком. Базовая модель с модулем односторонней ламинации</t>
  </si>
  <si>
    <t>Принтер DTC4500e DS LAM1 +MAG ДВУсторонний. Стандартный двойной входной лоток на 200 карт с замком. Базовая модель с модулем односторонней ламинации +Кодировщик магнитной полосы ISO</t>
  </si>
  <si>
    <t>Принтер DTC4500e DS LAM2 +MAG ДВУсторонний. Стандартный двойной входной лоток на 200 карт. Базовая модель с модулем двусторонней ламинации +Кодировщик магнитной полосы ISO</t>
  </si>
  <si>
    <t>Принтер DTC4500e DS LAM2 ДВУсторонний. Стандартный двойной входной лоток на 200 карт с замком. Базовая модель с модулем двусторонней ламинации</t>
  </si>
  <si>
    <t>Принтер DTC4500e DS LAM2 +MAG ДВУсторонний. Стандартный двойной входной лоток на 200 карт с замком. Базовая модель с модулем двусторонней ламинации +Кодировщик магнитной полосы ISO</t>
  </si>
  <si>
    <t>K</t>
  </si>
  <si>
    <t>W</t>
  </si>
  <si>
    <t>YMCFKO</t>
  </si>
  <si>
    <t>YMCKO 1/2</t>
  </si>
  <si>
    <t>YMCKO: Лента и чистящий валик. ДляDTC4500e. Полноцветная лента с полимерной чёрной панелью и прозрачным защитным слоем – 500 отпечатков</t>
  </si>
  <si>
    <t>Лента и чистящий валик. ДляDTC4500e. Полимерная улучшенная ЧЕРНАЯ лента - 3000 отпечатков</t>
  </si>
  <si>
    <t>Лента и чистящий валик. Для DTC4500e. Полимерная стандартная ЧЕРНАЯ лента – 3000 отпечатков</t>
  </si>
  <si>
    <t>Лента и чистящий валик. Для DTC4500e. Сублимационная БЕЛАЯ лента - 2000 отпечатков</t>
  </si>
  <si>
    <t>Лента и чистящий валик. Для DTC4500e. Полноцветная лента с полимерной чёрной панелью, прозрачным защитным слоем и ультрафиолетовой панелью - 500 отпечатков</t>
  </si>
  <si>
    <t>Лента и чистящий валик. Для DTC4500e. Полноцветная лента с двумя полимерными чёрными панелями и прозрачным защитным слоем – 500 отпечатков</t>
  </si>
  <si>
    <t>Лента и чистящий валик. Для DTC4500e. Полноцветная ПОЛУпанельная лента с полимерной черной панелью, прозрачным защитным слоем - 850 отпечатков</t>
  </si>
  <si>
    <t>Лента и чистящий валик. Для /DTC4500e. Полноцветная лента с двумя полимерными чёрными панелями – 500 отпечатков</t>
  </si>
  <si>
    <t>Чистящие материалы для принтера DTC4500e</t>
  </si>
  <si>
    <t>Ламинационные материалы для принтера DTC4500e</t>
  </si>
  <si>
    <t>82615</t>
  </si>
  <si>
    <t>82618</t>
  </si>
  <si>
    <t>Лента ламинационная термотрансферная чистая (только в картридж 1), толщина 0.0063 мм - 500 отпечатков. Для DTC4500e/HDP5000</t>
  </si>
  <si>
    <t>Ламинационная лента, термотрансферная с голограммой высокого разрешения "Орбита", универсальное расположение голограммы (только в картридж 1), толщина 0.0063 мм - 500 отпечатков. Для DTC4500e/HDP5000</t>
  </si>
  <si>
    <t>Печатающая головка для принтера 5500LMX</t>
  </si>
  <si>
    <t xml:space="preserve"> Принтер-кодировщик FARGO DTC5500LMX Профессиональный сублимационный принтер-кодировщик для прямой ДВУсторонней печати  и одновременного ДВУстороннего безотходного ламинирования пластиковых карт. USB. Ethernet.</t>
  </si>
  <si>
    <t>Принтер-кодировщик FARGO DTC5500LMX +MAG Профессиональный сублимационный принтер-кодировщик для прямой ДВУсторонней печати и одновременного ДВУстороннего безотходного ламинирования пластиковых карт и кодирования магнитной полосы ISO. USB. Ethernet. Полноцветный. Базовая модель +Кодировщик магнитной полосы ISO</t>
  </si>
  <si>
    <t>Принтер-кодировщик FARGO DTC5500LMX +PROX +13.56 +SIO Профессиональный сублимационный принтер-кодировщик для прямой ДВУсторонней печати и одновременного ДВУстороннего безотходного ламинирования пластиковых карт. Поддержка карт доступа HID PROX, бесконтактных смарт-карт (iCLASS, Mifare/DESFire, iCLASS SE, Seos, Mifare/DESFire SE) и контактных смарт-карт. USB. Ethernet. Полноцветный. Базовая модель +Кодировщик iCLASS SE, iCLASS, MIFARE/DESFire, HID Prox (OMNIKEY Cardman 5127)</t>
  </si>
  <si>
    <t>Лента и чистящий валик. Полноцветная лента с двумя полимерными чёрными панелями – 500 отпечатков</t>
  </si>
  <si>
    <t>Лента и чистящий валик. Полноцветная ПОЛУпанельная лента с полимерной черной панелью, прозрачным защитным слоем - 850 отпечатков</t>
  </si>
  <si>
    <t>YMCKOK: Лента и чистящий валик. Полноцветная лента с двумя полимерными чёрными панелями и прозрачным защитным слоем – 500 отпечатков. Для принтеров : DTC5500LMX</t>
  </si>
  <si>
    <t>DTC5500LMX -  Принтер прямой печати с разрешением 300 dpi</t>
  </si>
  <si>
    <t>Ламинационные материалы для принтера DTC5500LMX</t>
  </si>
  <si>
    <t>Чистящие материалы для принтера DTC5500LMX</t>
  </si>
  <si>
    <t>Карты и наклейки, рекомендованные для печати на принтере DTC5500LMX</t>
  </si>
  <si>
    <t>Лента и чистящий валик. Полимерная стандартная ЧЕРНАЯ лента – 3000 отпечатков</t>
  </si>
  <si>
    <t>K Premium</t>
  </si>
  <si>
    <t>K Standard</t>
  </si>
  <si>
    <t xml:space="preserve">Лента ЧЕРНАЯ полимерная улучшенная - 3000 отпечатков. </t>
  </si>
  <si>
    <t>Лента и чистящий валик. Полноцветная лента с полимерной чёрной панелью и прозрачным защитным слоем – 500 отпечатков.</t>
  </si>
  <si>
    <t>82700</t>
  </si>
  <si>
    <t>82702</t>
  </si>
  <si>
    <t>82710</t>
  </si>
  <si>
    <t>Безотходная ламинационная лента повышенной прочности, чистая, толщина 0.0253 мм - 1000 отпечатков.</t>
  </si>
  <si>
    <t>Ламинационная лента FARGO Holographic PolyGuard LMX 1.00 mil с голограммой  повышенной прочности и высокого разрешения "Орбита", универсальное расположение голограммы, толщина 0.0253 мм - 1000 отпечатков</t>
  </si>
  <si>
    <t>Ламинационная лента FARGO PolyGuard LMX 1.00 mil 1/2 для карт с магнитной полосой. Безотходная ламинационная лента повышенной прочности, чистая, полупанельная для стороны карты с магнитной полосой, толщина 0.0253 мм - 1000 отпечатков</t>
  </si>
  <si>
    <t>Термическая печатающая головка для принтеров Fargo DTC1250e/DTC1500/DTC4250e/DTC4500e/DTC550LMX</t>
  </si>
  <si>
    <t>YMC</t>
  </si>
  <si>
    <t>YMCFK</t>
  </si>
  <si>
    <t>Лента полноцветная, с полимерной чёрной панелью – 500 отпечатков.</t>
  </si>
  <si>
    <t xml:space="preserve">Лента полноцветная, с двумя полимерными чёрными панелями – 500 отпечатков. </t>
  </si>
  <si>
    <t>Лента ЧЕРНАЯ полимерная улучшенная - 3000 отпечатков.</t>
  </si>
  <si>
    <t>Лента полноцветная – 750 отпечатков.</t>
  </si>
  <si>
    <t>Несущие ленты для принтера HDP5000</t>
  </si>
  <si>
    <t>Лента несущая – 1500 отпечатков.</t>
  </si>
  <si>
    <t>Лента несущая с голограммой высокого разрешения "Орбита" – 500 отпечатков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</si>
  <si>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0.60 mil (0.0152 мм) - 250 отпечатков. Для DTC4500e/HDP5000.</t>
  </si>
  <si>
    <t>Лента ламинационная PolyGuard повышенной прочности чистая, толщина 1.0 mil (0.0253 мм) - 250 отпечатков. Для DTC4500e/HDP5000</t>
  </si>
  <si>
    <t>Лента ламинационная PolyGuard повышенной прочности чистая, толщина 0.60 mil (0.0152 мм) - 250 отпечатков. Для DTC4500e/HDP5000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</si>
  <si>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1.0 mil (0.0253 мм) - 250 отпечатков. Для DTC4500e/HDP5000</t>
  </si>
  <si>
    <t>Ламинационная лента PolyGuard для ламинирования контактных смарт-карт c чипом большого размера, в т.ч. HID Crescendo. Чистая, повышенной прочности PolyGuard с левосторонним размещением выреза для смарт чипа на ламинационной панеле (только в картридж 1), толщина 1 mil (0.0253 мм) - 250 отпечатков. Для DTC4500e/HDP5000</t>
  </si>
  <si>
    <t>Чистящие карты на 10 000 отпечатков - 50 штук.</t>
  </si>
  <si>
    <t>Чистящие ролики на 5 000 отпечатков - 10 штук.</t>
  </si>
  <si>
    <t>Чистящий комплект (комплектация: 4 спиртовых палочки для чистки печатающей головки, 10 чистящих карт с липким слоем, 10 чистящих салфеток, 3 чистящих карты с содержанием спирта).</t>
  </si>
  <si>
    <t>Усиленные пластиковые карты FARGO UltraCard PC для печати HDP и лазерной гравировки, 500 шт.
Упаковка 500 пластиковых карт повышенной прочности и долговечности из 100% поликарбоната. Для прямой печати на карт-принтерах. Белые. СR-80 (85.6х54мм), толщина 30 mil (0.76мм). Предназначены для печати только на ретрансверных принтерах HDP и для лазерной гравировки. НЕ рекомендуется для печати на принтерах DTC</t>
  </si>
  <si>
    <t>HDP6600 -  Профессиональный ретрансферный принтер с разрешением 600 dpi</t>
  </si>
  <si>
    <t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печати.</t>
  </si>
  <si>
    <r>
      <t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</t>
    </r>
    <r>
      <rPr>
        <b/>
        <sz val="9"/>
        <color theme="1"/>
        <rFont val="Arial Cyr"/>
        <charset val="204"/>
      </rPr>
      <t xml:space="preserve"> Базовая модель с двойным лотком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</si>
  <si>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</t>
    </r>
    <r>
      <rPr>
        <b/>
        <sz val="9"/>
        <color theme="1"/>
        <rFont val="Arial Cyr"/>
        <charset val="204"/>
      </rPr>
      <t>Базовая модель с двойным лотком и замком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</si>
  <si>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</t>
    </r>
    <r>
      <rPr>
        <b/>
        <sz val="9"/>
        <color theme="1"/>
        <rFont val="Arial Cyr"/>
        <charset val="204"/>
      </rPr>
      <t>Базовая модель</t>
    </r>
    <r>
      <rPr>
        <sz val="9"/>
        <color theme="1"/>
        <rFont val="Arial Cyr"/>
        <charset val="204"/>
      </rPr>
      <t xml:space="preserve"> </t>
    </r>
    <r>
      <rPr>
        <b/>
        <sz val="9"/>
        <color theme="1"/>
        <rFont val="Arial Cyr"/>
        <charset val="204"/>
      </rPr>
      <t>с замком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</si>
  <si>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</t>
    </r>
    <r>
      <rPr>
        <b/>
        <sz val="9"/>
        <color theme="1"/>
        <rFont val="Arial Cyr"/>
        <charset val="204"/>
      </rPr>
      <t>ОДНОсторонний</t>
    </r>
    <r>
      <rPr>
        <sz val="9"/>
        <color theme="1"/>
        <rFont val="Arial Cyr"/>
        <charset val="204"/>
      </rPr>
      <t xml:space="preserve">. </t>
    </r>
    <r>
      <rPr>
        <b/>
        <sz val="9"/>
        <color theme="1"/>
        <rFont val="Arial Cyr"/>
        <charset val="204"/>
      </rPr>
      <t>Базовая модель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</si>
  <si>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</t>
    </r>
    <r>
      <rPr>
        <b/>
        <sz val="9"/>
        <color theme="1"/>
        <rFont val="Arial Cyr"/>
        <charset val="204"/>
      </rPr>
      <t>ДВУсторонний. Базовая модель</t>
    </r>
  </si>
  <si>
    <r>
      <t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</t>
    </r>
    <r>
      <rPr>
        <b/>
        <sz val="9"/>
        <color theme="1"/>
        <rFont val="Arial Cyr"/>
        <charset val="204"/>
      </rPr>
      <t xml:space="preserve"> Базовая модель + модуль выпрямления карт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</si>
  <si>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 </t>
    </r>
    <r>
      <rPr>
        <b/>
        <sz val="9"/>
        <color theme="1"/>
        <rFont val="Arial Cyr"/>
        <charset val="204"/>
      </rPr>
      <t>Базовая модель с двойным лотком</t>
    </r>
  </si>
  <si>
    <r>
      <t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</t>
    </r>
    <r>
      <rPr>
        <b/>
        <sz val="9"/>
        <color theme="1"/>
        <rFont val="Arial Cyr"/>
        <charset val="204"/>
      </rPr>
      <t xml:space="preserve"> Базовая модель с замком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</si>
  <si>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 </t>
    </r>
    <r>
      <rPr>
        <b/>
        <sz val="9"/>
        <color theme="1"/>
        <rFont val="Arial Cyr"/>
        <charset val="204"/>
      </rPr>
      <t>Базовая модель с двойным лотком и замком</t>
    </r>
  </si>
  <si>
    <r>
      <t xml:space="preserve">Принтер-кодировщик FARGO HDP6600 (600dpi) DS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ДВУсторонний. </t>
    </r>
    <r>
      <rPr>
        <b/>
        <sz val="9"/>
        <color theme="1"/>
        <rFont val="Arial Cyr"/>
        <charset val="204"/>
      </rPr>
      <t>Базовая модель с модулем выпрямления карт</t>
    </r>
  </si>
  <si>
    <r>
      <t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Базовая модель</t>
    </r>
    <r>
      <rPr>
        <b/>
        <sz val="9"/>
        <color theme="1"/>
        <rFont val="Arial Cyr"/>
        <charset val="204"/>
      </rPr>
      <t xml:space="preserve"> с односторонней ламинацией</t>
    </r>
  </si>
  <si>
    <r>
      <t xml:space="preserve">Принтер-кодировщик FARGO HDP6600 (600dpi) SS  
Профессиональный ретрансферный сублимационный принтер для высококачественной полноцветной и монохромной печати пластиковых карт. ЖК-дисплей. Разрешение 600 DPI. USB. Ethernet. Полноцветный. ОДНОсторонний. Базовая модель </t>
    </r>
    <r>
      <rPr>
        <b/>
        <sz val="9"/>
        <color theme="1"/>
        <rFont val="Arial Cyr"/>
        <charset val="204"/>
      </rPr>
      <t>с модулем выпрямления карт и односторонней ламинацией</t>
    </r>
  </si>
  <si>
    <r>
      <t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</t>
    </r>
    <r>
      <rPr>
        <b/>
        <sz val="9"/>
        <color theme="1"/>
        <rFont val="Arial Cyr"/>
        <charset val="204"/>
      </rPr>
      <t xml:space="preserve"> с односторонней ламинацией</t>
    </r>
  </si>
  <si>
    <r>
      <t xml:space="preserve"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 </t>
    </r>
    <r>
      <rPr>
        <b/>
        <sz val="9"/>
        <color theme="1"/>
        <rFont val="Arial Cyr"/>
        <charset val="204"/>
      </rPr>
      <t>с односторонней ламинацией и модулем выпрямления карт</t>
    </r>
  </si>
  <si>
    <r>
      <t xml:space="preserve"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 </t>
    </r>
    <r>
      <rPr>
        <b/>
        <sz val="9"/>
        <color theme="1"/>
        <rFont val="Arial Cyr"/>
        <charset val="204"/>
      </rPr>
      <t>с двусторонней ламинацией</t>
    </r>
  </si>
  <si>
    <r>
      <t>Принтер-кодировщик идентификационных карт HID FARGO HDP6600 DS ДВУсторонний полноцветный профессиональный ретрансферный сублимационный принтер высокого разрешения для полноцветной и монохромной печати пластиковых карт. Технология печати HDP. Разрешение 600 DPI. USB. Ethernet. Базовая модель + модуль двусторонней печати</t>
    </r>
    <r>
      <rPr>
        <b/>
        <sz val="9"/>
        <color theme="1"/>
        <rFont val="Arial Cyr"/>
        <charset val="204"/>
      </rPr>
      <t xml:space="preserve"> с двусторонней ламинацией и модулем выпрямления карт</t>
    </r>
  </si>
  <si>
    <t>Модуль двусторонней печати</t>
  </si>
  <si>
    <t>Модуль односторонней ламинации (совместим только с принтером ДВУсторонней печати)</t>
  </si>
  <si>
    <t>Модуль двусторонней ламинации</t>
  </si>
  <si>
    <t>Модуль выпрямления карт</t>
  </si>
  <si>
    <t>Кодировщик бесконтактных карт</t>
  </si>
  <si>
    <t>Программатор карт</t>
  </si>
  <si>
    <t>Кодировщик магнитной полосы</t>
  </si>
  <si>
    <t>Кодировщик карт с контактным чипом</t>
  </si>
  <si>
    <t>Дополнительные модули для принтеров серии HDP6600</t>
  </si>
  <si>
    <t>Лента и чистящий валик для HDP6600. Полноцветная лента с полимерной чёрной панелью – 750 отпечатков</t>
  </si>
  <si>
    <t>Лента и чистящий валик. Полноцветная лента с двумя полимерными чёрными панелями – 600 отпечатков</t>
  </si>
  <si>
    <t xml:space="preserve">Лента и чистящий валик. Полноцветная лента с полимерной черной панелью и панелью термосваривания – 600 отпечатков. </t>
  </si>
  <si>
    <t xml:space="preserve">Лента и чистящий валик. Полноцветная лента с полимерной черной панелью и флуоресцентной панелью  – 600 отпечатков. </t>
  </si>
  <si>
    <t>Ламинационные материалы для принтера HDP6600</t>
  </si>
  <si>
    <t>Чистящие материалы для принтера HDP6600</t>
  </si>
  <si>
    <t>Печатающая головка для принтера HDP6600</t>
  </si>
  <si>
    <t>Карты и наклейки, рекомендованные для печати на принтере HDP6600</t>
  </si>
  <si>
    <t>Ленты для печати на принтере HDP6600</t>
  </si>
  <si>
    <t>Безотходная ламинационная лента повышенной прочности, чистая, толщина 1 mil (0.0253 мм) - 1000 отпечатков. Для принтеров : DTC5500LMX/HDP6600</t>
  </si>
  <si>
    <t>Безотходная ламинационная лента повышенной прочности с голограммой высокого разрешения "Орбита", универсальное расположение голограммы, толщина 1 mil (0.0253 мм) - 1000 отпечатков</t>
  </si>
  <si>
    <t>езотходная ламинационная лента повышенной прочности, чистая, полупанельная для стороны карты с магнитной полосой, толщина 1 mil (0.0253 мм) - 1000 отпечатков</t>
  </si>
  <si>
    <t>Термическая печатающая головка для принтеров Fargo HDP6600</t>
  </si>
  <si>
    <t>Чистящий комплект (комплектация: 4 спиртовые палочки для чистки печатающей головки, 10 чистящих карт с липким слоем, 10 чистящих салфеток , 3 чистящие карты с содержанием спирта) для FARGO HDP6600</t>
  </si>
  <si>
    <t>Печатающая головка для принтеров DTC1250e/DTC1500/DTC4250e/DTC4500e/DTC5500LMX</t>
  </si>
  <si>
    <t>Программное обеспечение Asure ID</t>
  </si>
  <si>
    <t>Программное обеспечение Asure ID Express для печати и программирования карт (Доставка в цифровом виде)</t>
  </si>
  <si>
    <t>Программное обеспечение Asure ID Enterprise для печати и программирования карт  (Доставка в цифровом виде)</t>
  </si>
  <si>
    <t>Программное обеспечение Asure ID Exchange для печати и программирования карт  (Доставка в цифровом виде)</t>
  </si>
  <si>
    <t>Программное обеспечение Asure ID 7 Solo для печати и программирования карт  (Доставка в цифровом виде)</t>
  </si>
  <si>
    <t>Обновление программного обеспечение Asure ID</t>
  </si>
  <si>
    <t>Обновление Asure ID 7 Solo до Express</t>
  </si>
  <si>
    <t>Обновление Asure ID 7 Solo до Enterprise</t>
  </si>
  <si>
    <t>Обновление Asure ID 7 Solo до Exchange</t>
  </si>
  <si>
    <t>Обновление Asure ID 7 Express до Enterprise</t>
  </si>
  <si>
    <t>Обновление Asure ID 7 Express до Exchange</t>
  </si>
  <si>
    <t>Обновление Asure ID 7 Enterprise до Exchange</t>
  </si>
  <si>
    <t>Программное обеспечение Asure ID 7 Enterprise. Одно дополнительное клиенское рабочее место (1-5 клиентов).</t>
  </si>
  <si>
    <t>Ленты для печати на принтере DTC1250e</t>
  </si>
  <si>
    <t>Ленты для печати на принтере DTC4250e</t>
  </si>
  <si>
    <t>Ленты для печати на принтере DTC4500e</t>
  </si>
  <si>
    <t>Ленты для печати на принтере DTC5500LMX</t>
  </si>
  <si>
    <t>Карты и наклейки, рекомендованные для печати на принтерах DTC1250e/DTC1500/DTC4250e/DTC4500e</t>
  </si>
  <si>
    <t xml:space="preserve"> </t>
  </si>
  <si>
    <t>Модуль для ОДНОстороннего ламинирования карт</t>
  </si>
  <si>
    <t>Модуль для ДВУстороннего ламинирования карт</t>
  </si>
  <si>
    <t>YMCKO: EZ Многоразовый картридж с лентой и чистящим валиком. Для DTC1000/DTC1250e. Полноцветная лента с полимерной черной панелью, прозрачным защитным слоем - 250 отпечатков</t>
  </si>
  <si>
    <t>YMCKO: EZ Многоразовый картридж с лентой и чистящим валиком. Для DTC4000/DTC4250e. Полноцветная лента с полимерной чёрной панелью и прозрачным защитным слоем – 250 отпечатков</t>
  </si>
  <si>
    <t>YMCKOK: EZ Многоразовый картридж с лентой и чистящим валиком. Для DTC4000/DTC4250e. Полноцветная лента с двумя полимерными чёрными панелями и прозрачным защитным слоем – 200 отпечатков</t>
  </si>
  <si>
    <t>КO: EZ Многоразовый картридж с лентой и чистящим валиком. Для C50/DTC1000/DTC1000M/DTC4000/DTC1000Me/DTC1250e/DTC4250e. Полимерная улучшенная ЧЕРНАЯ лента с прозрачным защитным слоем - 500 отпечатков</t>
  </si>
  <si>
    <t>YMCKO: Лента и чистящий валик. Для DTC4500/DTC4500e. Полноцветная лента с полимерной чёрной панелью и прозрачным защитным слоем – 500 отпечатков</t>
  </si>
  <si>
    <t>YMCKOK: Лента и чистящий валик. Для DTC4500/DTC4500e. Полноцветная лента с двумя полимерными чёрными панелями и прозрачным защитным слоем – 500 отпечатков</t>
  </si>
  <si>
    <t>HID 84800. Несущая лента FARGO HDP Film
HDP Film: Несущая лента, чистая – 1500 отпечатков. Для HDP8500.</t>
  </si>
  <si>
    <t>HID 84811. Лента FARGO YMCK
YMCK: Лента и чистящий валик. Для HDP8500. Полноцветная лента с полимерной чёрной панелью – 500 отпечатков</t>
  </si>
  <si>
    <t>HID 45700. Лента FARGO YMCKO YMCKO: Лента и чистящий валик. Полноцветная лента с полимерной чёрной панелью и прозрачным защитным слоем – 500 отпечатков. Для принтеров : DTC5500LMX</t>
  </si>
  <si>
    <t>YMCFKO: Лента и чистящий валик. Для DTC4500/DTC4500e. Полноцветная лента с полимерной чёрной панелью, прозрачным защитным слоем и ультрафиолетовой панелью - 500 отпечатков</t>
  </si>
  <si>
    <t>YMCKK: Лента и чистящий валик. Для DTC4500/DTC4500e. Полноцветная лента с двумя полимерными чёрными панелями – 500 отпечатков</t>
  </si>
  <si>
    <t>К: EZ Многоразовый картридж с лентой и чистящим валиком. Для C50/DTC1000/DTC1000M/DTC4000/DTC1000Me/DTC1250e/DTC4250e. Полимерная улучшенная ЧЕРНАЯ лента - 1000 отпечатков</t>
  </si>
  <si>
    <t>К: EZ Многоразовый картридж с лентой и чистящим валиком. Для C50/DTC1000/DTC1000M/DTC4000/DTC1000Me/DTC1250e/DTC4250e.Полимерная стандартная ЧЕРНАЯ лента – 1000 отпечатков</t>
  </si>
  <si>
    <t>К: ECO Лента и чистящий валик. Для C50/DTC1000/DTC1000M/DTC4000/DTC1000Me/DTC1250e/DTC4250e. Полимерная стандартная ЧЕРНАЯ лента (для многоразового картриджа) – 1000 отпечатков</t>
  </si>
  <si>
    <t>YMCKO: Многоразовый картридж с лентой и чистящим валиком. Для DTC1500. Полноцветная лента с полимерной черной панелью, прозрачным защитным слоем - 500 отпечатков</t>
  </si>
  <si>
    <t>YMCKOK: EZ Многоразовый картридж с лентой и чистящим валиком. Для DTC1000/DTC1250e. Полноцветная лента с двумя полимерными чёрными панелями и прозрачным защитным слоем – 200 отпечатков</t>
  </si>
  <si>
    <t>K: Лента с полимерной черной панелью 3000 отпечатков. Для DTC1500.</t>
  </si>
  <si>
    <t>Лента ламинационная</t>
  </si>
  <si>
    <t>Наклейка</t>
  </si>
  <si>
    <t>Аксессуар</t>
  </si>
  <si>
    <t>Чистящий комплект (комплектация: 4 чистящие палочки, 10 чистящих карт). Для C50/DTC1000/DTC1250e/DTC4250e/4500e.</t>
  </si>
  <si>
    <t>Чистящий комплект (комплектация: 4 спиртовых палочки для чистки печатающей головки, 10 чистящих карт с липким слоем, 10 чистящих салфеток, 3 чистящих карты с содержанием спирта). Для HDP5000/HDP5600/HDPii.</t>
  </si>
  <si>
    <t>HID 88933. Чистящий комплект FARGO
Чистящий комплект (комплектация: 4 спиртовые палочки для чистки печатающей головки, 10 чистящих карт с липким слоем, 10 чистящих салфеток , 3 чистящие карты с содержанием спирта) для FARGO HDP8500</t>
  </si>
  <si>
    <t>Чистящие ролики на 750 отпечатков - 3 штуки. Для C50/DTC1000/DTC1250e/DTC4000/DTC4250e.</t>
  </si>
  <si>
    <t>Чистящие ролики на 5 000 отпечатков - 10 штук. Для HDP5000/HDP5600/HDPii.</t>
  </si>
  <si>
    <t>FARGO 86131. Двусторонние чистящие карты, 50 шт.
Упаковка 50 чистящих карт с двусторонним липким слоем - 50 штук. Для C50/DTC1000/DTC1250e/DTC4250e/4500e/HDP5000/HDP5600/HDPii.</t>
  </si>
  <si>
    <t>Термическая печатающая головка для принтеров Fargo DTC1000/DTC4000/DTC4500</t>
  </si>
  <si>
    <t>Чистящие карты на 10 000 отпечатков - 50 штук.  Для HDP5000/HDP5600/HDPii.</t>
  </si>
  <si>
    <t>Чистящие карты с изопропиловым спиртом на 5 000 отпечатков - 10 штук.  C50/DTC1000/DTC1250e/DTC4250e/DTC4500e/HDP5000/HDP5600/HDPii.</t>
  </si>
  <si>
    <t>HID 88934. Термоголовка для FARGO HDP8500
Термическая печатающая головка для принтеров HID Fargo HDP8500. Для замены "на месте"</t>
  </si>
  <si>
    <t>HID 86091. Термоголовка FARGO HDP (300 DPI)  
Термическая печатающая головка для принтеров HID FARGO HDPii, HDP5000, HDP5600 (300 DPI)</t>
  </si>
  <si>
    <t>Карта пластиковая</t>
  </si>
  <si>
    <t>Программное обеспечение Asure ID 7 Solo для печати и программирования карт</t>
  </si>
  <si>
    <t>Программное обеспечение Asure ID 7 Express для печати и программирования карт</t>
  </si>
  <si>
    <t>Программное обеспечение Asure ID 7 Enterprise для печати и программирования карт</t>
  </si>
  <si>
    <t>Программное обеспечение Asure ID 7 Exchange для печати и программирования карт</t>
  </si>
  <si>
    <t>Розничная цена</t>
  </si>
  <si>
    <t>Название</t>
  </si>
  <si>
    <t>цена</t>
  </si>
  <si>
    <t>Принтеры</t>
  </si>
  <si>
    <t>Программное обеспечение с НДС</t>
  </si>
  <si>
    <t>HDP5000e -  Профессиональный ретрансферный принтер с разрешением 300 dpi</t>
  </si>
  <si>
    <t>HDP5000e ДВУсторонний. Базовая модель</t>
  </si>
  <si>
    <t>Система персонализации карт Fargo HDP5000e: Односторонний принтер пластиковых карт Fargo HDP5000e; Программное обеспечение AsureID 7 Express; Цифровая high-end USB WEB-камера; Полноцветная печатная лента YMCK (500 отпечатков); Несущая HDP-лента; Пластиковые карты UltraCard™ Premium - 500 шт.; USB кабель</t>
  </si>
  <si>
    <t>Несущие ленты для принтера HDP5000e</t>
  </si>
  <si>
    <t>Чистящие материалы для принтера HDP5000e</t>
  </si>
  <si>
    <t>Двусторонние чистящие карты, 50 шт. Упаковка 50 чистящих карт с двусторонним липким слоем - 50 штук. Для DTC1250e/DTC4250e/4500e/HDP5000e</t>
  </si>
  <si>
    <t>Чистящие карты с изопропиловым спиртом на 5 000 отпечатков - 10 штук. Для DTC1250e/DTC4250e/DTC4500e/HDP5000e</t>
  </si>
  <si>
    <t>Печатающая головка для принтера HDP5000e</t>
  </si>
  <si>
    <t>Термическая печатающая головка для принтеров Fargo HDP5000e</t>
  </si>
  <si>
    <t>Карты и наклейки, рекомендованные для печати на принтере HDP5000e</t>
  </si>
  <si>
    <t>Несущие ленты для принтера HDP6600</t>
  </si>
  <si>
    <t>045117</t>
  </si>
  <si>
    <t>045610</t>
  </si>
  <si>
    <t xml:space="preserve">Лента полноцветная, с полимерной чёрной и флуоресцентной панелями – 500 отпечатков. </t>
  </si>
  <si>
    <t>HDP5000e Односторонний. Базовая модель</t>
  </si>
  <si>
    <t>HDP5000e ДВУсторонний. Базовая модель+YMCK+HDP Film+Asure ID Express</t>
  </si>
  <si>
    <t>HDP5000e ДВУсторонний. Базовая модель+Кодировщик Omnikey 5127 Mini бесконтактных смарт-карт</t>
  </si>
  <si>
    <t>Ламинационные материалы для принтера HDP5000</t>
  </si>
  <si>
    <t>Ламинационная лента PolyGuard повышенной прочности, чистая, полупанельная для стороны карты с магнитной полосой (только в картридж 2), толщина 0.6 mil (0.0152 мм) - 250 отпечатков. Для DTC4500e/HDP5000</t>
  </si>
  <si>
    <t>Лента ламинационная PolyGuard повышенной прочности чистая, полупанельная для стороны карты с магнитной полосой (только в картридж 2), толщина 1.0 mil (0.0253 мм) - 250 отпечатков. Для DTC4500e/HDP5000</t>
  </si>
  <si>
    <t>Чистящие материалы для принтера HDP5000/HDP5000e</t>
  </si>
  <si>
    <t>Двусторонние чистящие карты, 50 шт. Упаковка 50 чистящих карт с двусторонним липким слоем - 50 штук. Для DTC1250e/DTC4250e/4500e/HDP5000/HDP5000e</t>
  </si>
  <si>
    <t>Чистящие карты с изопропиловым спиртом на 5 000 отпечатков - 10 штук. Для DTC1250e/DTC4250e/DTC4500e/HDP5000/HDP5000e</t>
  </si>
  <si>
    <t>Ленты для печати на принтере HDP5000/HDP5000e</t>
  </si>
  <si>
    <t>HID 050000. Карт-принтер FARGO DTC1250e SS. 
ОДНОсторонний. Базовая модель (NA)</t>
  </si>
  <si>
    <t>HID 050020. Карт-принтер FARGO DTC1250e SS +Eth
ОДНОсторонний. Базовая модель (NA) +Ethernet с внутренним сервером печати</t>
  </si>
  <si>
    <t>HID 050100. Карт-принтер FARGO DTC1250e DS
ДВУсторонний. Базовая модель (NA)</t>
  </si>
  <si>
    <t>HID 050120. Карт-принтер FARGO DTC1250e DS +Eth
ДВУсторонний. Базовая модель (NA) +Ethernet с внутренним сервером печати</t>
  </si>
  <si>
    <t>Несущие ленты для принтера HDP5000/HDP5000e</t>
  </si>
  <si>
    <t>HID 052200. Принтер DTC4250e SS ОДНОсторонний. Стандартный входной накопитель на 100 карт. Базовая модель</t>
  </si>
  <si>
    <t>HID 055000. Принтер DTC4500e SS ОДНОсторонний. Стандартный двойной входной лоток на 200 карт. Базовая модель</t>
  </si>
  <si>
    <t>HID 055500. Принтер DTC4500e DS LAM2 ДВУсторонний. Стандартный двойной входной лоток на 200 карт. Базовая модель с модулем двусторонней ламинации</t>
  </si>
  <si>
    <t>HID 096600. HDP5000e ОДНОсторонний. Базовая модель</t>
  </si>
  <si>
    <t>HID 096640. HDP5000e ДВУсторонний. Базовая модель</t>
  </si>
  <si>
    <t>HID 052300.Принтер DTC4250e DS ДВУсторонний. Комбинированный входной-выходной лоток для карт. Базовая модель</t>
  </si>
  <si>
    <t>HID 056305. Принтер-кодировщик FARGO DTC5500LMX Профессиональный сублимационный принтер-кодировщик для прямой ДВУсторонней печати  и одновременного ДВУстороннего безотходного ламинирования пластиковых карт. USB. Ethernet.</t>
  </si>
  <si>
    <t>HID 051400. Профессиональный ОДНОсторонний сублимационный принтер-кодировщик HID FARGO DTC1500 SS для полноцветной и монохромной печати пластиковых карт. Технология печати DTC. Термоперезапись. Входной лоток на 100 карт. Выходной лоток на 100 карт. USB, Ethernet Активация двусторонней печати программным образом (платная опция 47736).</t>
  </si>
  <si>
    <t>HID 047435. Модуль ДВУсторонней печати FARGO
Модуль для установки на месте в принтеры HID FARGO DTC4250e, DTC4500e: ДВУсторонняя печать</t>
  </si>
  <si>
    <t>HID 089001. Модуль двусторонней печати FARGO  
Модуль двусторонней печати для принтеров HID FARGO HDP5000, HDP5600. Возможна установка на месте</t>
  </si>
  <si>
    <t>Ламинационные материалы для принтера HDP5000/HDP5000e</t>
  </si>
  <si>
    <t>Лента ламинационная термотрансферная чистая (только в картридж 1), толщина 0.0063 мм - 500 отпечатков. Для DTC4500e/HDP5000/HDP5000e</t>
  </si>
  <si>
    <t>Ламинационная лента, термотрансферная с голограммой высокого разрешения "Орбита", универсальное расположение голограммы (только в картридж 1), толщина 0.0063 мм - 500 отпечатков. Для DTC4500e/HDP5000/HDP5000e</t>
  </si>
  <si>
    <t>Лента ламинационная PolyGuard повышенной прочности чистая, толщина 0.60 mil (0.0152 мм) - 250 отпечатков. Для DTC4500e/HDP5000/HDP5000e</t>
  </si>
  <si>
    <t>Лента ламинационная PolyGuard повышенной прочности чистая, толщина 1.0 mil (0.0253 мм) - 250 отпечатков. Для DTC4500e/HDP5000/HDP5000e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</si>
  <si>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0.60 mil (0.0152 мм) - 250 отпечатков. Для DTC4500e/HDP5000/HDP5000e.</t>
  </si>
  <si>
    <t>Лента ламинационная PolyGuard повышенной прочности с голограммой высокого разрешения "Орбита", универсальное расположение голограммы, толщина 1.0 mil (0.0253 мм) - 250 отпечатков. Для DTC4500e/HDP5000/HDP5000e</t>
  </si>
  <si>
    <r>
      <t>Ламинационная лента PolyGuard повышенной прочности, чистая,</t>
    </r>
    <r>
      <rPr>
        <b/>
        <sz val="9"/>
        <color theme="1"/>
        <rFont val="Arimo"/>
        <charset val="204"/>
      </rPr>
      <t xml:space="preserve"> полупанельная</t>
    </r>
    <r>
      <rPr>
        <sz val="9"/>
        <color theme="1"/>
        <rFont val="Arimo"/>
      </rPr>
      <t xml:space="preserve"> для стороны карты с магнитной полосой (только в картридж 2), толщина 0.6 mil (0.0152 мм) - 250 отпечатков. Для DTC4500e/HDP5000/HDP5000e</t>
    </r>
  </si>
  <si>
    <r>
      <t xml:space="preserve">Лента ламинационная PolyGuard повышенной прочности чистая, </t>
    </r>
    <r>
      <rPr>
        <b/>
        <sz val="9"/>
        <color theme="1"/>
        <rFont val="Arimo"/>
        <charset val="204"/>
      </rPr>
      <t>полупанельная</t>
    </r>
    <r>
      <rPr>
        <sz val="9"/>
        <color theme="1"/>
        <rFont val="Arimo"/>
      </rPr>
      <t xml:space="preserve"> для стороны карты с магнитной полосой (только в картридж 2), толщина 1.0 mil (0.0253 мм) - 250 отпечатков. Для DTC4500e/HDP5000/HDP5000e</t>
    </r>
  </si>
  <si>
    <t>Ламинационная лента PolyGuard для ламинирования контактных смарт-карт c чипом большого размера, в т.ч. HID Crescendo. Чистая, повышенной прочности PolyGuard с левосторонним размещением выреза для смарт чипа на ламинационной панеле (только в картридж 1), толщина 1 mil (0.0253 мм) - 250 отпечатков. Для DTC4500e/HDP5000/HDP5000e</t>
  </si>
  <si>
    <t>Безотходная ламинационная лента повышенной прочности, чистая, полупанельная для стороны карты с магнитной полосой, толщина 1 mil (0.0253 мм) - 1000 отпечатков</t>
  </si>
  <si>
    <t>Карты и наклейки, рекомендованные для печати на принтерах HDP5000/HDP5000e/HDP6600</t>
  </si>
  <si>
    <t>YMC: Лента полноцветная – 750 отпечатков. Для HDP5000/HDP5000e/HDPii.</t>
  </si>
  <si>
    <t>YMCK: Лента полноцветная, с полимерной чёрной панелью – 500 отпечатков. Для HDP5000/HDP5000e/HDPii.</t>
  </si>
  <si>
    <t>HDP Film: Лента несущая – 1500 отпечатков. Для HDP5000/HDP5000e/HDPii.</t>
  </si>
  <si>
    <t>HDP Holographic Film: Лента несущая с голограммой высокого разрешения "Орбита" – 500 отпечатков. Для HDP5000/HDP5000e/HDPii.</t>
  </si>
  <si>
    <t>К: Лента ЧЕРНАЯ полимерная улучшенная - 3000 отпечатков. Для HDP5000/HDP5000e/HDPii.</t>
  </si>
  <si>
    <t>YMCFK: Лента полноцветная, с ультрафиолетовой панелью и полимерной чёрной панелью - 500 отпечатков. Для HDP5000/HDP5000e.</t>
  </si>
  <si>
    <t>HID 45611. Лента FARGO YMCKOK: Лента и чистящий валик. Полноцветная лента с двумя полимерными чёрными панелями и прозрачным защитным слоем – 500 отпечатков</t>
  </si>
  <si>
    <t>FARGO 86200. Лента YMCKO: Лента и чистящий валик. Полноцветная лента с полимерной чёрной панелью и прозрачным защитным слоем – 500 отпечатков</t>
  </si>
  <si>
    <t>HID 082702. Ламинационная лента FARGO Holographic PolyGuard LMX 1.00 mil с голограммой Holographic PolyGuard LMX 1.00 mil: Безотходная ламинационная лента повышенной прочности с голограммой высокого разрешения "Орбита", универсальное расположение голограммы, толщина 0.0253 мм - 1000 отпечатков</t>
  </si>
  <si>
    <t>HID 082700.PolyGuard LMX 1.00 mil: Безотходная ламинационная лента повышенной прочности, чистая, толщина 0.0253 мм - 1000 отпечатков. Для принтеров : DTC5500LMX</t>
  </si>
  <si>
    <t>YMCKK: Лента полноцветная, с двумя полимерными чёрными панелями – 500 отпечатков. Для HDP5000/HDP5000e/HDPii.</t>
  </si>
  <si>
    <t>HID 082600. Ламинационная лента FARGO PolyGuard 0.60 mil
PolyGuard 0.60 mil: Лента ламинационная повышенной прочности чистая, толщина 0.0152 мм - 250 отпечатков. Для DTC4500/DTC4500e/HDP5000/HDP5000e/HDP5600/HDP8500.</t>
  </si>
  <si>
    <t>HID 082601. Ламинационная лента FARGO PolyGuard 1.00 mil
PolyGuard 1.00 mil: Лента ламинационная повышенной прочности чистая, толщина 0.0253 мм - 250 отпечатков. Для DTC4500/DTC4500e/HDP5000/HDP5000e/HDP5600/HDP8500.</t>
  </si>
  <si>
    <t>HID 082603. Ламинационная лента FARGO Holographic PolyGuard 0.60 mil с голограммой
PolyGuard 0.60 mil: Лента ламинационная повышенной прочности с голограммой высокого разрешения "Орбита", универсальное расположение голограммы, толщина 0.0152 мм - 250 отпечатков. Для DTC4500/DTC4500e/HDP5000/HDP5000e/HDP5600/HDP8500.</t>
  </si>
  <si>
    <t>HID 082604. Ламинационная лента FARGO Holographic PolyGuard 1.00 mil с голограммой
PolyGuard 1.00 mil: Лента ламинационная повышенной прочности с голограммой высокого разрешения "Орбита", универсальное расположение голограммы, толщина 0.0253 мм - 250 отпечатков. Для DTC4500/DTC4500e/HDP5000/HDP5000e/HDP5600/HDP8500.</t>
  </si>
  <si>
    <t>HID 082615. Ламинационная лента FARGO Termotransfer
Termotransfer: Лента ламинационная термотрансферная чистая (только в картридж 1), толщина 0.0063 мм - 500 отпечатков. Для DTC4500/DTC4500e/HDP5000/HDP5000e/HDP5600/HDP8500.</t>
  </si>
  <si>
    <t>HID 082618. Ламинационная лента FARGO Holographic Termotransfer с голограммой
Holographic Termotransfer: Ламинационная лента, термотрансферная с голограммой высокого разрешения "Орбита", универсальное расположение голограммы (только в картридж 1), толщина 0.0063 мм - 500 отпечатков. Для DTC4500/DTC4500e/HDP5000/HDP5000e/HDP5600/HDP8500.</t>
  </si>
  <si>
    <t>Принтер FARGO HDP5000e SS +Prox +13.56 +SIO
Профессиональный ретрансферный сублимационный принтер-кодировщик для высококачественной полноцветной и монохромной печати пластиковых карт. ЖК-дисплей. USB. Ethernet. Полноцветный. ОДНОсторонний. Базовая модель +Кодировщик iCLASS SE, iCLASS, MIFARE/DESFire, HID Prox (OMNIKEY Cardman 5127).</t>
  </si>
  <si>
    <t>50000</t>
  </si>
  <si>
    <t>50100</t>
  </si>
  <si>
    <t>50010</t>
  </si>
  <si>
    <t>50020</t>
  </si>
  <si>
    <t>50030</t>
  </si>
  <si>
    <t>50110</t>
  </si>
  <si>
    <t>50120</t>
  </si>
  <si>
    <t>50130</t>
  </si>
  <si>
    <t>45000</t>
  </si>
  <si>
    <t>45010</t>
  </si>
  <si>
    <t>45014</t>
  </si>
  <si>
    <t>45015</t>
  </si>
  <si>
    <t>45029</t>
  </si>
  <si>
    <t>44261</t>
  </si>
  <si>
    <t>45101</t>
  </si>
  <si>
    <t>45102</t>
  </si>
  <si>
    <t>45130</t>
  </si>
  <si>
    <t>45111</t>
  </si>
  <si>
    <t>86177</t>
  </si>
  <si>
    <t>44260</t>
  </si>
  <si>
    <t>86131</t>
  </si>
  <si>
    <t>82133</t>
  </si>
  <si>
    <t>47500</t>
  </si>
  <si>
    <t>81759</t>
  </si>
  <si>
    <t>82266</t>
  </si>
  <si>
    <t>81758</t>
  </si>
  <si>
    <t>81754</t>
  </si>
  <si>
    <t>81751</t>
  </si>
  <si>
    <t>81750</t>
  </si>
  <si>
    <t>82136</t>
  </si>
  <si>
    <t>82137</t>
  </si>
  <si>
    <t>51400</t>
  </si>
  <si>
    <t>51405</t>
  </si>
  <si>
    <t>51401</t>
  </si>
  <si>
    <t>51406</t>
  </si>
  <si>
    <t>51410</t>
  </si>
  <si>
    <t>51411</t>
  </si>
  <si>
    <t>47736</t>
  </si>
  <si>
    <t>45611</t>
  </si>
  <si>
    <t>45612</t>
  </si>
  <si>
    <t>45616</t>
  </si>
  <si>
    <t>45617</t>
  </si>
  <si>
    <t>82600</t>
  </si>
  <si>
    <t>82601</t>
  </si>
  <si>
    <t>82603</t>
  </si>
  <si>
    <t>82604</t>
  </si>
  <si>
    <t>82607</t>
  </si>
  <si>
    <t>82608</t>
  </si>
  <si>
    <t>52000</t>
  </si>
  <si>
    <t>52100</t>
  </si>
  <si>
    <t>52010</t>
  </si>
  <si>
    <t>52600</t>
  </si>
  <si>
    <t>52110</t>
  </si>
  <si>
    <t>45100</t>
  </si>
  <si>
    <t>55000</t>
  </si>
  <si>
    <t>55100</t>
  </si>
  <si>
    <t>55010</t>
  </si>
  <si>
    <t>55020</t>
  </si>
  <si>
    <t>55030</t>
  </si>
  <si>
    <t>55200</t>
  </si>
  <si>
    <t>55210</t>
  </si>
  <si>
    <t>55220</t>
  </si>
  <si>
    <t>55230</t>
  </si>
  <si>
    <t>55600</t>
  </si>
  <si>
    <t>55110</t>
  </si>
  <si>
    <t>55120</t>
  </si>
  <si>
    <t>55130</t>
  </si>
  <si>
    <t>55300</t>
  </si>
  <si>
    <t>55310</t>
  </si>
  <si>
    <t>55320</t>
  </si>
  <si>
    <t>55330</t>
  </si>
  <si>
    <t>55410</t>
  </si>
  <si>
    <t>55420</t>
  </si>
  <si>
    <t>55430</t>
  </si>
  <si>
    <t>55510</t>
  </si>
  <si>
    <t>55520</t>
  </si>
  <si>
    <t>55530</t>
  </si>
  <si>
    <t>56305</t>
  </si>
  <si>
    <t>56306</t>
  </si>
  <si>
    <t>56308</t>
  </si>
  <si>
    <t>45700</t>
  </si>
  <si>
    <t>45701</t>
  </si>
  <si>
    <t>45702</t>
  </si>
  <si>
    <t>45710</t>
  </si>
  <si>
    <t>45714</t>
  </si>
  <si>
    <t>96600</t>
  </si>
  <si>
    <t>96640</t>
  </si>
  <si>
    <t>96300</t>
  </si>
  <si>
    <t>96609</t>
  </si>
  <si>
    <t>96305</t>
  </si>
  <si>
    <t>96526</t>
  </si>
  <si>
    <t>84510</t>
  </si>
  <si>
    <t>84511</t>
  </si>
  <si>
    <t>84512</t>
  </si>
  <si>
    <t>84514</t>
  </si>
  <si>
    <t>84518</t>
  </si>
  <si>
    <t>84500</t>
  </si>
  <si>
    <t>84501</t>
  </si>
  <si>
    <t>82655</t>
  </si>
  <si>
    <t>89200</t>
  </si>
  <si>
    <t>86004</t>
  </si>
  <si>
    <t>81760</t>
  </si>
  <si>
    <t>86091</t>
  </si>
  <si>
    <t>82289</t>
  </si>
  <si>
    <t>94600</t>
  </si>
  <si>
    <t>94640</t>
  </si>
  <si>
    <t>94800</t>
  </si>
  <si>
    <t>94610</t>
  </si>
  <si>
    <t>94700</t>
  </si>
  <si>
    <t>94900</t>
  </si>
  <si>
    <t>94620</t>
  </si>
  <si>
    <t>94630</t>
  </si>
  <si>
    <t>94740</t>
  </si>
  <si>
    <t>94840</t>
  </si>
  <si>
    <t>94940</t>
  </si>
  <si>
    <t>94650</t>
  </si>
  <si>
    <t>94660</t>
  </si>
  <si>
    <t>94670</t>
  </si>
  <si>
    <t>94680</t>
  </si>
  <si>
    <t>94690</t>
  </si>
  <si>
    <t>94050</t>
  </si>
  <si>
    <t>94051</t>
  </si>
  <si>
    <t>94052</t>
  </si>
  <si>
    <t>94053</t>
  </si>
  <si>
    <t>94054</t>
  </si>
  <si>
    <t>94055</t>
  </si>
  <si>
    <t>94056</t>
  </si>
  <si>
    <t>94057</t>
  </si>
  <si>
    <t>84911</t>
  </si>
  <si>
    <t>84912</t>
  </si>
  <si>
    <t>84915</t>
  </si>
  <si>
    <t>84916</t>
  </si>
  <si>
    <t>84917</t>
  </si>
  <si>
    <t>84900</t>
  </si>
  <si>
    <t>84054</t>
  </si>
  <si>
    <t>88933</t>
  </si>
  <si>
    <t>86094</t>
  </si>
  <si>
    <t>96091</t>
  </si>
  <si>
    <t>86511</t>
  </si>
  <si>
    <t>86512</t>
  </si>
  <si>
    <t>86513</t>
  </si>
  <si>
    <t>86514</t>
  </si>
  <si>
    <t>86415</t>
  </si>
  <si>
    <t>86416</t>
  </si>
  <si>
    <t>86417</t>
  </si>
  <si>
    <t>86418</t>
  </si>
  <si>
    <t>86419</t>
  </si>
  <si>
    <t>86420</t>
  </si>
  <si>
    <t>86430</t>
  </si>
  <si>
    <t>45117</t>
  </si>
  <si>
    <t>45200</t>
  </si>
  <si>
    <t>45201</t>
  </si>
  <si>
    <t>45202</t>
  </si>
  <si>
    <t>45206</t>
  </si>
  <si>
    <t>45209</t>
  </si>
  <si>
    <t>45210</t>
  </si>
  <si>
    <t>45214</t>
  </si>
  <si>
    <t>45215</t>
  </si>
  <si>
    <t>45715</t>
  </si>
  <si>
    <t>55500</t>
  </si>
  <si>
    <t>52300</t>
  </si>
  <si>
    <t>47435</t>
  </si>
  <si>
    <t>89001</t>
  </si>
  <si>
    <t>88935</t>
  </si>
  <si>
    <t>88936</t>
  </si>
  <si>
    <t>45110</t>
  </si>
  <si>
    <t>84800</t>
  </si>
  <si>
    <t>84811</t>
  </si>
  <si>
    <t>86200</t>
  </si>
  <si>
    <t>88934</t>
  </si>
  <si>
    <t>86431</t>
  </si>
  <si>
    <t>Дополнительные модули для принтеров серии HDP5000e и HDP5600</t>
  </si>
  <si>
    <t>Дополнительный модуль для принтера серии DTC4250e</t>
  </si>
  <si>
    <t>Модуль двусторонней печати для HDP6600</t>
  </si>
  <si>
    <t>Модуль односторонней ламинации (совместим только с принтером ДВУсторонней печати) для HDP6600</t>
  </si>
  <si>
    <t>Модуль двусторонней ламинации для HDP6600</t>
  </si>
  <si>
    <t>Модуль выпрямления карт для HDP6600</t>
  </si>
  <si>
    <t>Кодировщик бесконтактных карт для HDP6600</t>
  </si>
  <si>
    <t>Программатор карт для HDP6600</t>
  </si>
  <si>
    <t>Кодировщик магнитной полосы для HDP6600</t>
  </si>
  <si>
    <t>Кодировщик карт с контактным чипом для HDP6600</t>
  </si>
  <si>
    <t>Модуль двусторонней печати для HDP5000e и HDP5600</t>
  </si>
  <si>
    <t>Модуль односторонней ламинации (совместим только с принтером ДВУсторонней печати) для HDP5000e и HDP5600</t>
  </si>
  <si>
    <t>Модуль двусторонней ламинации для HDP5000e и HDP5600</t>
  </si>
  <si>
    <t>Модуль двусторонней печати для DTC4250e</t>
  </si>
  <si>
    <t>Ленты для печати на принтере DTC1500</t>
  </si>
  <si>
    <t>Чистящие ролики на 750 отпечатков - 3 штуки. Для DTC1250e/DTC4250e/DTC4500e.</t>
  </si>
  <si>
    <t xml:space="preserve">Чистящий комплект для DTC5500LMX (комплектация: 4 чистящие палочки, 20 чистящих карт с липким слоем, 3 чистящие карты с содержанием спирта). </t>
  </si>
  <si>
    <t>RFID-tag с QR-кодом для активации двусторонней печати для принтера DTC1500 Fargo</t>
  </si>
  <si>
    <t>Лента и чистящий валик. Для DTC4500e. Полимерная улучшенная ЧЕРНАЯ лента - 3000 отпечатков</t>
  </si>
  <si>
    <t>Данный розничный прайс актуален с 17 февраля 2025 г.</t>
  </si>
  <si>
    <t>Колонка 1</t>
  </si>
  <si>
    <t>Колонка 2</t>
  </si>
  <si>
    <t>Колонка 3</t>
  </si>
  <si>
    <t>DTC4250e DS ДВУсторонний. Стандартный входной накопитель на 100 карт. Базовая модель, USB, Ethernet, внутренний сервер печати. Входной и выходной лотки с одной стороны</t>
  </si>
  <si>
    <t>Принтер DTC4500e DS ДВУсторонний с ДВУсторонней ламинацией. Стандартный двойной входной лоток на 200 карт. Базовая модель</t>
  </si>
  <si>
    <t>88955</t>
  </si>
  <si>
    <t>88956</t>
  </si>
  <si>
    <r>
      <t xml:space="preserve">Модуль односторонней ламинации для </t>
    </r>
    <r>
      <rPr>
        <b/>
        <sz val="9"/>
        <color theme="1"/>
        <rFont val="Arial Cyr"/>
        <charset val="204"/>
      </rPr>
      <t>HDP5000e</t>
    </r>
  </si>
  <si>
    <r>
      <t xml:space="preserve">Модуль двусторонней ламинации для </t>
    </r>
    <r>
      <rPr>
        <b/>
        <sz val="9"/>
        <color theme="1"/>
        <rFont val="Arial Cyr"/>
        <charset val="204"/>
      </rPr>
      <t>HDP5000e</t>
    </r>
  </si>
  <si>
    <t>Модуль двусторонней ламинации для HDP5000 и HDP5600</t>
  </si>
  <si>
    <t>Модуль односторонней ламинации (совместим только с принтером ДВУсторонней печати) для HDP5000 и HDP5600</t>
  </si>
  <si>
    <t>Дополнительные модули для принтеров серии HDP5000e и HDP5000</t>
  </si>
  <si>
    <t>Модуль двусторонней печати для HDP5000 и HDP5600</t>
  </si>
  <si>
    <t>96680</t>
  </si>
  <si>
    <t>96660</t>
  </si>
  <si>
    <t>96620</t>
  </si>
  <si>
    <t>HDP5000e Односторонний. Базовая модель с односторонней ламинацией</t>
  </si>
  <si>
    <t>HDP5000e ДВУсторонний. Базовая модель с ДВУсторонней ламинацией</t>
  </si>
  <si>
    <t>HDP5000e ДВУсторонний. Базовая модель с ОДНОсторонней ламинацией</t>
  </si>
  <si>
    <t>96001</t>
  </si>
  <si>
    <r>
      <t xml:space="preserve">Модуль двусторонней печати для </t>
    </r>
    <r>
      <rPr>
        <b/>
        <sz val="9"/>
        <color theme="1"/>
        <rFont val="Arial Cyr"/>
        <charset val="204"/>
      </rPr>
      <t>HDP5000e</t>
    </r>
  </si>
  <si>
    <t>Модуль односторонней ламинации для HDP5000 и HDP5600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</si>
</sst>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\ [$₸-43F];\-#,##0\ [$₸-43F]"/>
    <numFmt numFmtId="166" formatCode="#,##0\ [$₸-43F]"/>
  </numFmts>
  <fonts count="33">
    <font>
      <sz val="10"/>
      <color rgb="FF000000"/>
      <name val="Arimo"/>
      <scheme val="minor"/>
    </font>
    <font>
      <b/>
      <sz val="12"/>
      <color theme="1"/>
      <name val="Arimo"/>
    </font>
    <font>
      <sz val="12"/>
      <color theme="1"/>
      <name val="Arimo"/>
    </font>
    <font>
      <u/>
      <sz val="14"/>
      <color rgb="FF0000FF"/>
      <name val="Arimo"/>
    </font>
    <font>
      <sz val="14"/>
      <color theme="1"/>
      <name val="Arimo"/>
    </font>
    <font>
      <b/>
      <sz val="14"/>
      <color rgb="FFFF0000"/>
      <name val="Arial"/>
      <family val="2"/>
      <charset val="204"/>
    </font>
    <font>
      <sz val="10"/>
      <name val="Arimo"/>
    </font>
    <font>
      <b/>
      <sz val="14"/>
      <color theme="1"/>
      <name val="Arial"/>
      <family val="2"/>
      <charset val="204"/>
    </font>
    <font>
      <b/>
      <sz val="11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9"/>
      <color theme="1"/>
      <name val="Arimo"/>
    </font>
    <font>
      <b/>
      <sz val="9"/>
      <color theme="1"/>
      <name val="Arimo"/>
    </font>
    <font>
      <sz val="10"/>
      <color theme="1"/>
      <name val="Arimo"/>
    </font>
    <font>
      <b/>
      <sz val="10"/>
      <color rgb="FFFF0000"/>
      <name val="Arimo"/>
    </font>
    <font>
      <b/>
      <sz val="9"/>
      <color theme="1"/>
      <name val="Arial Cyr"/>
    </font>
    <font>
      <sz val="9"/>
      <color theme="1"/>
      <name val="Arial Cyr"/>
    </font>
    <font>
      <sz val="8"/>
      <name val="Arimo"/>
      <scheme val="minor"/>
    </font>
    <font>
      <b/>
      <sz val="14"/>
      <color theme="1"/>
      <name val="Calibri"/>
      <family val="2"/>
      <charset val="204"/>
    </font>
    <font>
      <b/>
      <sz val="12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9"/>
      <color theme="1"/>
      <name val="Arial Cyr"/>
      <charset val="204"/>
    </font>
    <font>
      <sz val="9"/>
      <color theme="1"/>
      <name val="Arial Cyr"/>
      <charset val="204"/>
    </font>
    <font>
      <sz val="10"/>
      <name val="Arimo"/>
      <charset val="204"/>
    </font>
    <font>
      <b/>
      <sz val="10"/>
      <name val="Arimo"/>
      <charset val="204"/>
    </font>
    <font>
      <b/>
      <sz val="9"/>
      <color theme="1"/>
      <name val="Arimo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mo"/>
      <scheme val="minor"/>
    </font>
    <font>
      <sz val="10"/>
      <name val="Arimo"/>
      <scheme val="minor"/>
    </font>
    <font>
      <b/>
      <sz val="14"/>
      <name val="Arimo"/>
      <charset val="204"/>
      <scheme val="minor"/>
    </font>
    <font>
      <b/>
      <sz val="10"/>
      <color rgb="FF000000"/>
      <name val="Arimo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0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rgb="FF99336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2" fillId="0" borderId="0" xfId="0" applyFont="1"/>
    <xf numFmtId="0" fontId="10" fillId="0" borderId="13" xfId="0" applyFont="1" applyBorder="1" applyAlignment="1">
      <alignment vertical="center"/>
    </xf>
    <xf numFmtId="0" fontId="13" fillId="0" borderId="0" xfId="0" applyFont="1"/>
    <xf numFmtId="0" fontId="10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5" fontId="11" fillId="3" borderId="18" xfId="0" applyNumberFormat="1" applyFont="1" applyFill="1" applyBorder="1" applyAlignment="1">
      <alignment horizontal="center" vertical="center"/>
    </xf>
    <xf numFmtId="165" fontId="11" fillId="4" borderId="18" xfId="0" applyNumberFormat="1" applyFont="1" applyFill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49" fontId="10" fillId="0" borderId="21" xfId="0" applyNumberFormat="1" applyFont="1" applyBorder="1" applyAlignment="1">
      <alignment horizontal="center" vertical="center"/>
    </xf>
    <xf numFmtId="49" fontId="10" fillId="3" borderId="15" xfId="0" applyNumberFormat="1" applyFont="1" applyFill="1" applyBorder="1" applyAlignment="1">
      <alignment horizontal="center" vertical="center"/>
    </xf>
    <xf numFmtId="49" fontId="10" fillId="4" borderId="15" xfId="0" applyNumberFormat="1" applyFont="1" applyFill="1" applyBorder="1" applyAlignment="1">
      <alignment horizontal="center" vertical="center"/>
    </xf>
    <xf numFmtId="49" fontId="10" fillId="7" borderId="15" xfId="0" applyNumberFormat="1" applyFont="1" applyFill="1" applyBorder="1" applyAlignment="1">
      <alignment horizontal="center" vertical="center"/>
    </xf>
    <xf numFmtId="165" fontId="11" fillId="7" borderId="18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8" borderId="15" xfId="0" applyNumberFormat="1" applyFont="1" applyFill="1" applyBorder="1" applyAlignment="1">
      <alignment horizontal="center" vertical="center"/>
    </xf>
    <xf numFmtId="165" fontId="11" fillId="8" borderId="18" xfId="0" applyNumberFormat="1" applyFont="1" applyFill="1" applyBorder="1" applyAlignment="1">
      <alignment horizontal="center" vertical="center"/>
    </xf>
    <xf numFmtId="49" fontId="10" fillId="9" borderId="15" xfId="0" applyNumberFormat="1" applyFont="1" applyFill="1" applyBorder="1" applyAlignment="1">
      <alignment horizontal="center" vertical="center"/>
    </xf>
    <xf numFmtId="165" fontId="11" fillId="9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6" xfId="0" applyBorder="1" applyAlignment="1">
      <alignment horizontal="left" vertical="top" wrapText="1"/>
    </xf>
    <xf numFmtId="0" fontId="26" fillId="0" borderId="26" xfId="0" applyFont="1" applyBorder="1" applyAlignment="1">
      <alignment horizontal="right" vertical="top" wrapText="1"/>
    </xf>
    <xf numFmtId="0" fontId="26" fillId="0" borderId="26" xfId="0" applyFont="1" applyBorder="1" applyAlignment="1">
      <alignment horizontal="left" vertical="top" wrapText="1"/>
    </xf>
    <xf numFmtId="166" fontId="0" fillId="0" borderId="26" xfId="0" applyNumberFormat="1" applyBorder="1" applyAlignment="1">
      <alignment horizontal="right" vertical="top" wrapText="1"/>
    </xf>
    <xf numFmtId="0" fontId="27" fillId="0" borderId="26" xfId="0" applyFont="1" applyBorder="1" applyAlignment="1">
      <alignment horizontal="left" vertical="top" wrapText="1"/>
    </xf>
    <xf numFmtId="0" fontId="27" fillId="0" borderId="26" xfId="0" applyFont="1" applyBorder="1" applyAlignment="1">
      <alignment horizontal="right" vertical="top" wrapText="1"/>
    </xf>
    <xf numFmtId="49" fontId="0" fillId="0" borderId="26" xfId="0" applyNumberFormat="1" applyBorder="1" applyAlignment="1">
      <alignment horizontal="left" vertical="top" wrapText="1"/>
    </xf>
    <xf numFmtId="1" fontId="10" fillId="0" borderId="13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0" fontId="0" fillId="7" borderId="0" xfId="0" applyFill="1"/>
    <xf numFmtId="0" fontId="12" fillId="7" borderId="0" xfId="0" applyFont="1" applyFill="1"/>
    <xf numFmtId="165" fontId="0" fillId="0" borderId="0" xfId="0" applyNumberFormat="1"/>
    <xf numFmtId="166" fontId="29" fillId="0" borderId="26" xfId="0" applyNumberFormat="1" applyFont="1" applyBorder="1" applyAlignment="1">
      <alignment horizontal="right" vertical="top" wrapText="1"/>
    </xf>
    <xf numFmtId="166" fontId="30" fillId="0" borderId="26" xfId="0" applyNumberFormat="1" applyFont="1" applyBorder="1" applyAlignment="1">
      <alignment horizontal="right" vertical="top" wrapText="1"/>
    </xf>
    <xf numFmtId="0" fontId="31" fillId="0" borderId="0" xfId="0" applyFont="1"/>
    <xf numFmtId="0" fontId="32" fillId="0" borderId="0" xfId="0" applyFont="1"/>
    <xf numFmtId="49" fontId="24" fillId="0" borderId="15" xfId="0" applyNumberFormat="1" applyFont="1" applyBorder="1" applyAlignment="1">
      <alignment horizontal="center" vertical="center"/>
    </xf>
    <xf numFmtId="49" fontId="10" fillId="9" borderId="30" xfId="0" applyNumberFormat="1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left" vertical="center" wrapText="1"/>
    </xf>
    <xf numFmtId="0" fontId="6" fillId="9" borderId="31" xfId="0" applyFont="1" applyFill="1" applyBorder="1"/>
    <xf numFmtId="165" fontId="11" fillId="9" borderId="32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3" xfId="0" applyFont="1" applyBorder="1"/>
    <xf numFmtId="0" fontId="6" fillId="0" borderId="19" xfId="0" applyFont="1" applyBorder="1"/>
    <xf numFmtId="0" fontId="6" fillId="0" borderId="4" xfId="0" applyFont="1" applyBorder="1"/>
    <xf numFmtId="0" fontId="6" fillId="0" borderId="20" xfId="0" applyFont="1" applyBorder="1"/>
    <xf numFmtId="164" fontId="3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5" borderId="7" xfId="0" applyFont="1" applyFill="1" applyBorder="1" applyAlignment="1">
      <alignment horizontal="center" vertical="center" wrapText="1"/>
    </xf>
    <xf numFmtId="0" fontId="6" fillId="6" borderId="8" xfId="0" applyFont="1" applyFill="1" applyBorder="1"/>
    <xf numFmtId="0" fontId="18" fillId="2" borderId="10" xfId="0" applyFont="1" applyFill="1" applyBorder="1" applyAlignment="1">
      <alignment horizontal="center" wrapText="1"/>
    </xf>
    <xf numFmtId="0" fontId="6" fillId="0" borderId="11" xfId="0" applyFont="1" applyBorder="1"/>
    <xf numFmtId="0" fontId="6" fillId="0" borderId="12" xfId="0" applyFont="1" applyBorder="1"/>
    <xf numFmtId="0" fontId="20" fillId="3" borderId="16" xfId="0" applyFont="1" applyFill="1" applyBorder="1" applyAlignment="1">
      <alignment horizontal="left" vertical="center" wrapText="1"/>
    </xf>
    <xf numFmtId="0" fontId="23" fillId="0" borderId="17" xfId="0" applyFont="1" applyBorder="1"/>
    <xf numFmtId="0" fontId="20" fillId="4" borderId="16" xfId="0" applyFont="1" applyFill="1" applyBorder="1" applyAlignment="1">
      <alignment horizontal="left" vertical="center" wrapText="1"/>
    </xf>
    <xf numFmtId="0" fontId="23" fillId="4" borderId="17" xfId="0" applyFont="1" applyFill="1" applyBorder="1"/>
    <xf numFmtId="0" fontId="9" fillId="2" borderId="10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left" vertical="center" wrapText="1"/>
    </xf>
    <xf numFmtId="0" fontId="6" fillId="0" borderId="17" xfId="0" applyFont="1" applyBorder="1"/>
    <xf numFmtId="0" fontId="21" fillId="4" borderId="16" xfId="0" applyFont="1" applyFill="1" applyBorder="1" applyAlignment="1">
      <alignment horizontal="left" vertical="center" wrapText="1"/>
    </xf>
    <xf numFmtId="0" fontId="6" fillId="4" borderId="17" xfId="0" applyFont="1" applyFill="1" applyBorder="1"/>
    <xf numFmtId="0" fontId="18" fillId="2" borderId="10" xfId="0" applyFont="1" applyFill="1" applyBorder="1" applyAlignment="1">
      <alignment horizontal="center"/>
    </xf>
    <xf numFmtId="0" fontId="10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6" fillId="0" borderId="5" xfId="0" applyFont="1" applyBorder="1"/>
    <xf numFmtId="0" fontId="21" fillId="3" borderId="16" xfId="0" applyFont="1" applyFill="1" applyBorder="1" applyAlignment="1">
      <alignment horizontal="left" vertical="center" wrapText="1"/>
    </xf>
    <xf numFmtId="0" fontId="22" fillId="0" borderId="17" xfId="0" applyFont="1" applyBorder="1"/>
    <xf numFmtId="0" fontId="21" fillId="7" borderId="16" xfId="0" applyFont="1" applyFill="1" applyBorder="1" applyAlignment="1">
      <alignment horizontal="left" vertical="center" wrapText="1"/>
    </xf>
    <xf numFmtId="0" fontId="6" fillId="7" borderId="17" xfId="0" applyFont="1" applyFill="1" applyBorder="1"/>
    <xf numFmtId="0" fontId="9" fillId="2" borderId="10" xfId="0" applyFont="1" applyFill="1" applyBorder="1" applyAlignment="1">
      <alignment horizontal="center" wrapText="1"/>
    </xf>
    <xf numFmtId="0" fontId="21" fillId="0" borderId="16" xfId="0" applyFont="1" applyBorder="1" applyAlignment="1">
      <alignment horizontal="left" vertical="center" wrapText="1"/>
    </xf>
    <xf numFmtId="0" fontId="0" fillId="0" borderId="29" xfId="0" applyBorder="1"/>
    <xf numFmtId="0" fontId="21" fillId="4" borderId="7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9" borderId="16" xfId="0" applyFont="1" applyFill="1" applyBorder="1" applyAlignment="1">
      <alignment horizontal="left" vertical="center" wrapText="1"/>
    </xf>
    <xf numFmtId="0" fontId="6" fillId="9" borderId="17" xfId="0" applyFont="1" applyFill="1" applyBorder="1"/>
    <xf numFmtId="0" fontId="21" fillId="8" borderId="16" xfId="0" applyFont="1" applyFill="1" applyBorder="1" applyAlignment="1">
      <alignment horizontal="left" vertical="center" wrapText="1"/>
    </xf>
    <xf numFmtId="0" fontId="22" fillId="8" borderId="17" xfId="0" applyFont="1" applyFill="1" applyBorder="1"/>
    <xf numFmtId="0" fontId="6" fillId="0" borderId="25" xfId="0" applyFont="1" applyBorder="1"/>
    <xf numFmtId="0" fontId="28" fillId="0" borderId="26" xfId="0" applyFont="1" applyBorder="1" applyAlignment="1">
      <alignment vertical="top" wrapText="1"/>
    </xf>
    <xf numFmtId="0" fontId="25" fillId="0" borderId="26" xfId="0" applyFont="1" applyBorder="1" applyAlignment="1">
      <alignment horizontal="left" vertical="top" wrapText="1"/>
    </xf>
    <xf numFmtId="0" fontId="27" fillId="0" borderId="27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C032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17.png"/><Relationship Id="rId4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2" Type="http://schemas.openxmlformats.org/officeDocument/2006/relationships/image" Target="../media/image11.png"/><Relationship Id="rId1" Type="http://schemas.openxmlformats.org/officeDocument/2006/relationships/image" Target="../media/image6.png"/><Relationship Id="rId6" Type="http://schemas.openxmlformats.org/officeDocument/2006/relationships/image" Target="../media/image15.jpeg"/><Relationship Id="rId5" Type="http://schemas.openxmlformats.org/officeDocument/2006/relationships/image" Target="../media/image14.png"/><Relationship Id="rId4" Type="http://schemas.openxmlformats.org/officeDocument/2006/relationships/image" Target="../media/image13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21.png"/><Relationship Id="rId2" Type="http://schemas.openxmlformats.org/officeDocument/2006/relationships/image" Target="../media/image7.png"/><Relationship Id="rId1" Type="http://schemas.openxmlformats.org/officeDocument/2006/relationships/image" Target="../media/image5.png"/><Relationship Id="rId6" Type="http://schemas.openxmlformats.org/officeDocument/2006/relationships/image" Target="../media/image11.png"/><Relationship Id="rId11" Type="http://schemas.openxmlformats.org/officeDocument/2006/relationships/image" Target="../media/image20.png"/><Relationship Id="rId5" Type="http://schemas.openxmlformats.org/officeDocument/2006/relationships/image" Target="../media/image10.png"/><Relationship Id="rId10" Type="http://schemas.openxmlformats.org/officeDocument/2006/relationships/image" Target="../media/image19.png"/><Relationship Id="rId4" Type="http://schemas.openxmlformats.org/officeDocument/2006/relationships/image" Target="../media/image9.png"/><Relationship Id="rId9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3.png"/><Relationship Id="rId7" Type="http://schemas.openxmlformats.org/officeDocument/2006/relationships/image" Target="../media/image10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6.png"/><Relationship Id="rId11" Type="http://schemas.openxmlformats.org/officeDocument/2006/relationships/image" Target="../media/image17.png"/><Relationship Id="rId5" Type="http://schemas.openxmlformats.org/officeDocument/2006/relationships/image" Target="../media/image23.png"/><Relationship Id="rId10" Type="http://schemas.openxmlformats.org/officeDocument/2006/relationships/image" Target="../media/image26.png"/><Relationship Id="rId4" Type="http://schemas.openxmlformats.org/officeDocument/2006/relationships/image" Target="../media/image22.png"/><Relationship Id="rId9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29.png"/><Relationship Id="rId2" Type="http://schemas.openxmlformats.org/officeDocument/2006/relationships/image" Target="../media/image23.png"/><Relationship Id="rId1" Type="http://schemas.openxmlformats.org/officeDocument/2006/relationships/image" Target="../media/image11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6.png"/><Relationship Id="rId7" Type="http://schemas.openxmlformats.org/officeDocument/2006/relationships/image" Target="../media/image25.png"/><Relationship Id="rId12" Type="http://schemas.openxmlformats.org/officeDocument/2006/relationships/image" Target="../media/image34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31.png"/><Relationship Id="rId11" Type="http://schemas.openxmlformats.org/officeDocument/2006/relationships/image" Target="../media/image33.png"/><Relationship Id="rId5" Type="http://schemas.openxmlformats.org/officeDocument/2006/relationships/image" Target="../media/image30.png"/><Relationship Id="rId10" Type="http://schemas.openxmlformats.org/officeDocument/2006/relationships/image" Target="../media/image32.png"/><Relationship Id="rId4" Type="http://schemas.openxmlformats.org/officeDocument/2006/relationships/image" Target="../media/image10.png"/><Relationship Id="rId9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png"/><Relationship Id="rId3" Type="http://schemas.openxmlformats.org/officeDocument/2006/relationships/image" Target="../media/image6.png"/><Relationship Id="rId7" Type="http://schemas.openxmlformats.org/officeDocument/2006/relationships/image" Target="../media/image17.png"/><Relationship Id="rId2" Type="http://schemas.openxmlformats.org/officeDocument/2006/relationships/image" Target="../media/image23.png"/><Relationship Id="rId1" Type="http://schemas.openxmlformats.org/officeDocument/2006/relationships/image" Target="../media/image12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31.png"/><Relationship Id="rId9" Type="http://schemas.openxmlformats.org/officeDocument/2006/relationships/image" Target="../media/image3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7.png"/><Relationship Id="rId7" Type="http://schemas.openxmlformats.org/officeDocument/2006/relationships/image" Target="../media/image16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28.png"/><Relationship Id="rId4" Type="http://schemas.openxmlformats.org/officeDocument/2006/relationships/image" Target="../media/image8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200025</xdr:colOff>
      <xdr:row>15</xdr:row>
      <xdr:rowOff>0</xdr:rowOff>
    </xdr:from>
    <xdr:ext cx="20955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45988" y="3651413"/>
          <a:ext cx="2000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47625</xdr:colOff>
      <xdr:row>20</xdr:row>
      <xdr:rowOff>0</xdr:rowOff>
    </xdr:from>
    <xdr:ext cx="257175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22175" y="3646650"/>
          <a:ext cx="2476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247650</xdr:colOff>
      <xdr:row>0</xdr:row>
      <xdr:rowOff>57150</xdr:rowOff>
    </xdr:from>
    <xdr:ext cx="5261610" cy="139827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47650" y="57150"/>
          <a:ext cx="5261610" cy="1398270"/>
          <a:chOff x="2383725" y="3141825"/>
          <a:chExt cx="5924531" cy="1314450"/>
        </a:xfrm>
      </xdr:grpSpPr>
      <xdr:grpSp>
        <xdr:nvGrp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2383725" y="3141825"/>
            <a:ext cx="5924531" cy="1314450"/>
            <a:chOff x="188259" y="50268"/>
            <a:chExt cx="5741500" cy="1385351"/>
          </a:xfrm>
        </xdr:grpSpPr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188259" y="50268"/>
              <a:ext cx="5741500" cy="1345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1648407" y="90423"/>
              <a:ext cx="3483618" cy="1345196"/>
            </a:xfrm>
            <a:prstGeom prst="roundRect">
              <a:avLst>
                <a:gd name="adj" fmla="val 16667"/>
              </a:avLst>
            </a:prstGeom>
            <a:solidFill>
              <a:srgbClr val="FFFFFF"/>
            </a:solidFill>
            <a:ln w="25400" cap="flat" cmpd="sng">
              <a:solidFill>
                <a:srgbClr val="FFFFFF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ТОО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Смарт</a:t>
              </a:r>
              <a:r>
                <a:rPr lang="ru-RU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Секьюрити Системс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Республика Казахстан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г. Алматы,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бульвар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Бухар Жырау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,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33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</a:t>
              </a:r>
              <a:endParaRPr lang="ru-RU" sz="14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офис </a:t>
              </a:r>
              <a:r>
                <a:rPr lang="ru-RU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32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                       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Тел.:    +7 (727) 229</a:t>
              </a: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15 88</a:t>
              </a: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         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Моб.:  +7 (777) 511 46 53</a:t>
              </a:r>
              <a:endParaRPr sz="1400"/>
            </a:p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400" b="1" i="0" u="none" strike="noStrike">
                  <a:solidFill>
                    <a:srgbClr val="0066CC"/>
                  </a:solidFill>
                  <a:latin typeface="Calibri"/>
                  <a:ea typeface="Calibri"/>
                  <a:cs typeface="Calibri"/>
                  <a:sym typeface="Calibri"/>
                </a:rPr>
                <a:t>www.smartsecurity.kz </a:t>
              </a:r>
              <a:endParaRPr sz="1400"/>
            </a:p>
          </xdr:txBody>
        </xdr:sp>
      </xdr:grpSp>
    </xdr:grpSp>
    <xdr:clientData fLocksWithSheet="0"/>
  </xdr:oneCellAnchor>
  <xdr:oneCellAnchor>
    <xdr:from>
      <xdr:col>4</xdr:col>
      <xdr:colOff>200025</xdr:colOff>
      <xdr:row>11</xdr:row>
      <xdr:rowOff>28575</xdr:rowOff>
    </xdr:from>
    <xdr:ext cx="209550" cy="26670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45988" y="3651413"/>
          <a:ext cx="2000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47625</xdr:colOff>
      <xdr:row>20</xdr:row>
      <xdr:rowOff>0</xdr:rowOff>
    </xdr:from>
    <xdr:ext cx="257175" cy="2667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2175" y="3646650"/>
          <a:ext cx="2476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200025</xdr:colOff>
      <xdr:row>11</xdr:row>
      <xdr:rowOff>28575</xdr:rowOff>
    </xdr:from>
    <xdr:ext cx="209550" cy="26670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45988" y="3651413"/>
          <a:ext cx="20002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480060</xdr:colOff>
      <xdr:row>0</xdr:row>
      <xdr:rowOff>0</xdr:rowOff>
    </xdr:from>
    <xdr:to>
      <xdr:col>2</xdr:col>
      <xdr:colOff>335280</xdr:colOff>
      <xdr:row>7</xdr:row>
      <xdr:rowOff>124483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B8A4ACB-DAE0-2426-8586-38938A8C7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0"/>
          <a:ext cx="1211580" cy="1244623"/>
        </a:xfrm>
        <a:prstGeom prst="rect">
          <a:avLst/>
        </a:prstGeom>
      </xdr:spPr>
    </xdr:pic>
    <xdr:clientData/>
  </xdr:twoCellAnchor>
  <xdr:twoCellAnchor editAs="oneCell">
    <xdr:from>
      <xdr:col>8</xdr:col>
      <xdr:colOff>586740</xdr:colOff>
      <xdr:row>7</xdr:row>
      <xdr:rowOff>160020</xdr:rowOff>
    </xdr:from>
    <xdr:to>
      <xdr:col>17</xdr:col>
      <xdr:colOff>177874</xdr:colOff>
      <xdr:row>17</xdr:row>
      <xdr:rowOff>259516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D901FA20-F1D8-95F8-C208-A90DE7992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700" y="1280160"/>
          <a:ext cx="5077534" cy="31246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2</xdr:row>
      <xdr:rowOff>60960</xdr:rowOff>
    </xdr:from>
    <xdr:to>
      <xdr:col>10</xdr:col>
      <xdr:colOff>83127</xdr:colOff>
      <xdr:row>2</xdr:row>
      <xdr:rowOff>745028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40F2AE85-7B68-4BEA-9564-1A5D37D36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2540" y="188366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</xdr:row>
      <xdr:rowOff>68580</xdr:rowOff>
    </xdr:from>
    <xdr:to>
      <xdr:col>10</xdr:col>
      <xdr:colOff>52647</xdr:colOff>
      <xdr:row>3</xdr:row>
      <xdr:rowOff>752648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AF9A951-C860-4AC1-B952-CF6DC980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967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7</xdr:row>
      <xdr:rowOff>68580</xdr:rowOff>
    </xdr:from>
    <xdr:to>
      <xdr:col>10</xdr:col>
      <xdr:colOff>52647</xdr:colOff>
      <xdr:row>7</xdr:row>
      <xdr:rowOff>752648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DEFD507C-5827-4D94-88E2-D33179B9A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9057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205740</xdr:colOff>
      <xdr:row>6</xdr:row>
      <xdr:rowOff>60960</xdr:rowOff>
    </xdr:from>
    <xdr:to>
      <xdr:col>10</xdr:col>
      <xdr:colOff>151707</xdr:colOff>
      <xdr:row>6</xdr:row>
      <xdr:rowOff>745028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A0B7C385-0FA3-4C64-A902-2800C59A6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1120" y="18219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9</xdr:col>
      <xdr:colOff>494607</xdr:colOff>
      <xdr:row>3</xdr:row>
      <xdr:rowOff>51609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F53F4A74-879D-4E8F-B9C4-5C77C0E7A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5380" y="95707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38100</xdr:colOff>
      <xdr:row>16</xdr:row>
      <xdr:rowOff>53340</xdr:rowOff>
    </xdr:from>
    <xdr:to>
      <xdr:col>9</xdr:col>
      <xdr:colOff>532707</xdr:colOff>
      <xdr:row>16</xdr:row>
      <xdr:rowOff>737408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5F9678CB-EA86-456A-BF04-112CF9350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3480" y="178308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114300</xdr:colOff>
      <xdr:row>17</xdr:row>
      <xdr:rowOff>53340</xdr:rowOff>
    </xdr:from>
    <xdr:to>
      <xdr:col>10</xdr:col>
      <xdr:colOff>60267</xdr:colOff>
      <xdr:row>17</xdr:row>
      <xdr:rowOff>737409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A483529-6710-41AE-8C88-88C527448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9680" y="186309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10</xdr:row>
      <xdr:rowOff>53340</xdr:rowOff>
    </xdr:from>
    <xdr:to>
      <xdr:col>10</xdr:col>
      <xdr:colOff>6927</xdr:colOff>
      <xdr:row>11</xdr:row>
      <xdr:rowOff>13509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FDDB71D6-729C-4FA8-9AB3-0C2BD710B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151942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20</xdr:row>
      <xdr:rowOff>30480</xdr:rowOff>
    </xdr:from>
    <xdr:to>
      <xdr:col>10</xdr:col>
      <xdr:colOff>6927</xdr:colOff>
      <xdr:row>20</xdr:row>
      <xdr:rowOff>714548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DEF18845-F2C0-4999-B6A7-15936B4A5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16340" y="77419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24</xdr:row>
      <xdr:rowOff>220980</xdr:rowOff>
    </xdr:from>
    <xdr:to>
      <xdr:col>10</xdr:col>
      <xdr:colOff>22167</xdr:colOff>
      <xdr:row>25</xdr:row>
      <xdr:rowOff>676448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3EE4AE-7F37-46E4-97D1-D91336441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20650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26</xdr:row>
      <xdr:rowOff>1</xdr:rowOff>
    </xdr:from>
    <xdr:to>
      <xdr:col>10</xdr:col>
      <xdr:colOff>29787</xdr:colOff>
      <xdr:row>26</xdr:row>
      <xdr:rowOff>708661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F2E2FEEF-2139-4549-B88D-E58FF0CE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2138172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27</xdr:row>
      <xdr:rowOff>30480</xdr:rowOff>
    </xdr:from>
    <xdr:to>
      <xdr:col>10</xdr:col>
      <xdr:colOff>6927</xdr:colOff>
      <xdr:row>28</xdr:row>
      <xdr:rowOff>21129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12FDE434-7C58-4367-A5C5-A49E9D672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221361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53340</xdr:colOff>
      <xdr:row>27</xdr:row>
      <xdr:rowOff>685800</xdr:rowOff>
    </xdr:from>
    <xdr:to>
      <xdr:col>9</xdr:col>
      <xdr:colOff>547947</xdr:colOff>
      <xdr:row>28</xdr:row>
      <xdr:rowOff>676449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6C56C6B2-DFA5-434F-B8D1-81522C49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227914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29</xdr:row>
      <xdr:rowOff>7620</xdr:rowOff>
    </xdr:from>
    <xdr:to>
      <xdr:col>10</xdr:col>
      <xdr:colOff>45027</xdr:colOff>
      <xdr:row>29</xdr:row>
      <xdr:rowOff>691689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89C0C0C-0BEE-4D4F-8422-499E61B64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4440" y="234848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35</xdr:row>
      <xdr:rowOff>220980</xdr:rowOff>
    </xdr:from>
    <xdr:to>
      <xdr:col>10</xdr:col>
      <xdr:colOff>22167</xdr:colOff>
      <xdr:row>36</xdr:row>
      <xdr:rowOff>676448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105293A5-2851-40E7-BA7B-5A51D7764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20032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37</xdr:row>
      <xdr:rowOff>1</xdr:rowOff>
    </xdr:from>
    <xdr:to>
      <xdr:col>10</xdr:col>
      <xdr:colOff>29787</xdr:colOff>
      <xdr:row>37</xdr:row>
      <xdr:rowOff>708661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B5BE9BE8-FD27-4449-9B76-C976FC8A8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2076450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38</xdr:row>
      <xdr:rowOff>30480</xdr:rowOff>
    </xdr:from>
    <xdr:to>
      <xdr:col>10</xdr:col>
      <xdr:colOff>6927</xdr:colOff>
      <xdr:row>39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F1A18326-D1EF-45A3-957A-DE37F2BF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21518880"/>
          <a:ext cx="3359727" cy="66294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53340</xdr:colOff>
      <xdr:row>38</xdr:row>
      <xdr:rowOff>685800</xdr:rowOff>
    </xdr:from>
    <xdr:to>
      <xdr:col>9</xdr:col>
      <xdr:colOff>547947</xdr:colOff>
      <xdr:row>39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9F9E4C38-8B53-49C4-9E1C-17ECFD901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22174200"/>
          <a:ext cx="3359727" cy="762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2</xdr:row>
      <xdr:rowOff>45720</xdr:rowOff>
    </xdr:from>
    <xdr:to>
      <xdr:col>10</xdr:col>
      <xdr:colOff>14547</xdr:colOff>
      <xdr:row>2</xdr:row>
      <xdr:rowOff>729789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CD86D74C-E79A-4AB8-AF27-66EBE24AB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19481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</xdr:row>
      <xdr:rowOff>30480</xdr:rowOff>
    </xdr:from>
    <xdr:to>
      <xdr:col>10</xdr:col>
      <xdr:colOff>29787</xdr:colOff>
      <xdr:row>4</xdr:row>
      <xdr:rowOff>28748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1A13E8E4-74FF-4BA4-87F8-1BA0844DE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2649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8</xdr:row>
      <xdr:rowOff>45720</xdr:rowOff>
    </xdr:from>
    <xdr:to>
      <xdr:col>10</xdr:col>
      <xdr:colOff>14547</xdr:colOff>
      <xdr:row>8</xdr:row>
      <xdr:rowOff>729789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98A41011-7F9F-4B1D-AECC-7709A9CE9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25425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9</xdr:row>
      <xdr:rowOff>30480</xdr:rowOff>
    </xdr:from>
    <xdr:to>
      <xdr:col>10</xdr:col>
      <xdr:colOff>29787</xdr:colOff>
      <xdr:row>10</xdr:row>
      <xdr:rowOff>28748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DFE51692-FC03-4578-8399-B945B0B49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3243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14</xdr:row>
      <xdr:rowOff>45720</xdr:rowOff>
    </xdr:from>
    <xdr:to>
      <xdr:col>10</xdr:col>
      <xdr:colOff>14547</xdr:colOff>
      <xdr:row>14</xdr:row>
      <xdr:rowOff>729789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C937DF3B-05D7-4E1B-8D13-AC5FC9B78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33426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15</xdr:row>
      <xdr:rowOff>30480</xdr:rowOff>
    </xdr:from>
    <xdr:to>
      <xdr:col>10</xdr:col>
      <xdr:colOff>29787</xdr:colOff>
      <xdr:row>16</xdr:row>
      <xdr:rowOff>28748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7C1CE272-87C7-4825-8940-62F462B2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4043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20</xdr:row>
      <xdr:rowOff>45720</xdr:rowOff>
    </xdr:from>
    <xdr:to>
      <xdr:col>10</xdr:col>
      <xdr:colOff>14547</xdr:colOff>
      <xdr:row>20</xdr:row>
      <xdr:rowOff>729789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CE8885E2-F896-4416-BD45-10F88BC95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965198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21</xdr:row>
      <xdr:rowOff>30480</xdr:rowOff>
    </xdr:from>
    <xdr:to>
      <xdr:col>10</xdr:col>
      <xdr:colOff>29787</xdr:colOff>
      <xdr:row>22</xdr:row>
      <xdr:rowOff>28748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21094E92-9F7C-4FFD-9313-FA9AFD07A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03530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26</xdr:row>
      <xdr:rowOff>45720</xdr:rowOff>
    </xdr:from>
    <xdr:to>
      <xdr:col>10</xdr:col>
      <xdr:colOff>14547</xdr:colOff>
      <xdr:row>26</xdr:row>
      <xdr:rowOff>729789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11F50AF1-3975-4CFF-9C8F-C599F308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95097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29</xdr:row>
      <xdr:rowOff>45720</xdr:rowOff>
    </xdr:from>
    <xdr:to>
      <xdr:col>10</xdr:col>
      <xdr:colOff>14547</xdr:colOff>
      <xdr:row>29</xdr:row>
      <xdr:rowOff>729789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26F75855-A27C-4204-9EC5-4938F7B9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2644140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30</xdr:row>
      <xdr:rowOff>30480</xdr:rowOff>
    </xdr:from>
    <xdr:to>
      <xdr:col>10</xdr:col>
      <xdr:colOff>29787</xdr:colOff>
      <xdr:row>31</xdr:row>
      <xdr:rowOff>28748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F58C4835-B386-4E61-9072-5CA5CA64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7142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36</xdr:row>
      <xdr:rowOff>30480</xdr:rowOff>
    </xdr:from>
    <xdr:to>
      <xdr:col>10</xdr:col>
      <xdr:colOff>29787</xdr:colOff>
      <xdr:row>37</xdr:row>
      <xdr:rowOff>28748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F4624A96-BFB7-4E06-B025-667B057FB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2418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</xdr:colOff>
      <xdr:row>3</xdr:row>
      <xdr:rowOff>30480</xdr:rowOff>
    </xdr:from>
    <xdr:to>
      <xdr:col>10</xdr:col>
      <xdr:colOff>6927</xdr:colOff>
      <xdr:row>3</xdr:row>
      <xdr:rowOff>714548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7E604A13-5C68-42DD-BCE3-EAA04882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8720" y="1074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</xdr:row>
      <xdr:rowOff>7620</xdr:rowOff>
    </xdr:from>
    <xdr:to>
      <xdr:col>10</xdr:col>
      <xdr:colOff>29787</xdr:colOff>
      <xdr:row>2</xdr:row>
      <xdr:rowOff>691688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374123C4-8880-49FD-B1C6-5CAC7CACC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3</xdr:row>
      <xdr:rowOff>22860</xdr:rowOff>
    </xdr:from>
    <xdr:to>
      <xdr:col>10</xdr:col>
      <xdr:colOff>52647</xdr:colOff>
      <xdr:row>3</xdr:row>
      <xdr:rowOff>706929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D9A21B99-24B1-48B6-8043-AD30FD316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4860" y="6400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4</xdr:row>
      <xdr:rowOff>30480</xdr:rowOff>
    </xdr:from>
    <xdr:to>
      <xdr:col>10</xdr:col>
      <xdr:colOff>22167</xdr:colOff>
      <xdr:row>4</xdr:row>
      <xdr:rowOff>714548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6C7DCA74-462E-4356-B92F-CEE19898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4380" y="1356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13</xdr:row>
      <xdr:rowOff>60960</xdr:rowOff>
    </xdr:from>
    <xdr:to>
      <xdr:col>10</xdr:col>
      <xdr:colOff>22167</xdr:colOff>
      <xdr:row>13</xdr:row>
      <xdr:rowOff>745029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C9D4F9A-D10E-43B2-89A5-0608FC418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74380" y="48234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12</xdr:row>
      <xdr:rowOff>76200</xdr:rowOff>
    </xdr:from>
    <xdr:to>
      <xdr:col>10</xdr:col>
      <xdr:colOff>37407</xdr:colOff>
      <xdr:row>12</xdr:row>
      <xdr:rowOff>760268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E68277E5-0747-45E8-91E2-34DC4933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9620" y="4030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14</xdr:row>
      <xdr:rowOff>441960</xdr:rowOff>
    </xdr:from>
    <xdr:to>
      <xdr:col>10</xdr:col>
      <xdr:colOff>29787</xdr:colOff>
      <xdr:row>16</xdr:row>
      <xdr:rowOff>21128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AE325F49-15DA-40D2-9626-E487B5D7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6019800"/>
          <a:ext cx="3359727" cy="46308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18</xdr:row>
      <xdr:rowOff>53340</xdr:rowOff>
    </xdr:from>
    <xdr:to>
      <xdr:col>10</xdr:col>
      <xdr:colOff>29787</xdr:colOff>
      <xdr:row>18</xdr:row>
      <xdr:rowOff>737409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6C5F70F8-BD3F-4CE6-9A19-14409544E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39200" y="71247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121920</xdr:colOff>
      <xdr:row>18</xdr:row>
      <xdr:rowOff>731520</xdr:rowOff>
    </xdr:from>
    <xdr:to>
      <xdr:col>10</xdr:col>
      <xdr:colOff>67887</xdr:colOff>
      <xdr:row>19</xdr:row>
      <xdr:rowOff>668829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860644B0-3530-4CF4-9E0B-8CF8094A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77300" y="78028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20</xdr:row>
      <xdr:rowOff>99060</xdr:rowOff>
    </xdr:from>
    <xdr:to>
      <xdr:col>10</xdr:col>
      <xdr:colOff>52647</xdr:colOff>
      <xdr:row>20</xdr:row>
      <xdr:rowOff>783128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9CE072A6-15FB-4538-95F6-06DE172E5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863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21</xdr:row>
      <xdr:rowOff>45720</xdr:rowOff>
    </xdr:from>
    <xdr:to>
      <xdr:col>10</xdr:col>
      <xdr:colOff>52647</xdr:colOff>
      <xdr:row>21</xdr:row>
      <xdr:rowOff>729788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F3448830-383C-40FB-A4A3-53D7A8C4E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62060" y="9471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22</xdr:row>
      <xdr:rowOff>45720</xdr:rowOff>
    </xdr:from>
    <xdr:to>
      <xdr:col>10</xdr:col>
      <xdr:colOff>37407</xdr:colOff>
      <xdr:row>22</xdr:row>
      <xdr:rowOff>729789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486E2133-F2FD-424F-BF57-AE042323B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46820" y="103632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23</xdr:row>
      <xdr:rowOff>30480</xdr:rowOff>
    </xdr:from>
    <xdr:to>
      <xdr:col>10</xdr:col>
      <xdr:colOff>45027</xdr:colOff>
      <xdr:row>23</xdr:row>
      <xdr:rowOff>676448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28E1505-6971-4CDC-808A-E451AC72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4440" y="1123950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25</xdr:row>
      <xdr:rowOff>45720</xdr:rowOff>
    </xdr:from>
    <xdr:to>
      <xdr:col>10</xdr:col>
      <xdr:colOff>14547</xdr:colOff>
      <xdr:row>25</xdr:row>
      <xdr:rowOff>729789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1F896519-C747-4B97-8FB1-E7C7F51C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23960" y="119481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26</xdr:row>
      <xdr:rowOff>30480</xdr:rowOff>
    </xdr:from>
    <xdr:to>
      <xdr:col>10</xdr:col>
      <xdr:colOff>29787</xdr:colOff>
      <xdr:row>27</xdr:row>
      <xdr:rowOff>28748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A95E4F45-5563-48B5-86E5-6474F4F96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39200" y="12649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33</xdr:row>
      <xdr:rowOff>30480</xdr:rowOff>
    </xdr:from>
    <xdr:to>
      <xdr:col>10</xdr:col>
      <xdr:colOff>6927</xdr:colOff>
      <xdr:row>33</xdr:row>
      <xdr:rowOff>714548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7A5B6F9A-2383-443E-8A98-AB075BCF9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16340" y="14767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32</xdr:row>
      <xdr:rowOff>7620</xdr:rowOff>
    </xdr:from>
    <xdr:to>
      <xdr:col>10</xdr:col>
      <xdr:colOff>29787</xdr:colOff>
      <xdr:row>32</xdr:row>
      <xdr:rowOff>691688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17F611A0-2B96-452E-A729-02C679CA6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</xdr:colOff>
      <xdr:row>13</xdr:row>
      <xdr:rowOff>441960</xdr:rowOff>
    </xdr:from>
    <xdr:to>
      <xdr:col>10</xdr:col>
      <xdr:colOff>29787</xdr:colOff>
      <xdr:row>14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12E28989-4E62-48F8-9695-04B8209EA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6019800"/>
          <a:ext cx="3359727" cy="50880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24</xdr:row>
      <xdr:rowOff>45720</xdr:rowOff>
    </xdr:from>
    <xdr:to>
      <xdr:col>10</xdr:col>
      <xdr:colOff>14547</xdr:colOff>
      <xdr:row>24</xdr:row>
      <xdr:rowOff>729789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1A5DB5B4-00DC-4C21-85A6-865F7CCDE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23960" y="119481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25</xdr:row>
      <xdr:rowOff>0</xdr:rowOff>
    </xdr:from>
    <xdr:to>
      <xdr:col>10</xdr:col>
      <xdr:colOff>29787</xdr:colOff>
      <xdr:row>25</xdr:row>
      <xdr:rowOff>28748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78BEB43A-57EF-470A-A83E-414DBF4C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12649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31</xdr:row>
      <xdr:rowOff>30480</xdr:rowOff>
    </xdr:from>
    <xdr:to>
      <xdr:col>10</xdr:col>
      <xdr:colOff>6927</xdr:colOff>
      <xdr:row>31</xdr:row>
      <xdr:rowOff>714548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A11C6CA9-5597-42B2-B7EE-CD6CC520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16340" y="15331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30</xdr:row>
      <xdr:rowOff>7620</xdr:rowOff>
    </xdr:from>
    <xdr:to>
      <xdr:col>10</xdr:col>
      <xdr:colOff>29787</xdr:colOff>
      <xdr:row>30</xdr:row>
      <xdr:rowOff>691688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FF0BFAA6-998A-4F9A-9270-9EE9C99B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9</xdr:col>
      <xdr:colOff>494607</xdr:colOff>
      <xdr:row>3</xdr:row>
      <xdr:rowOff>684068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A1DDFE54-9537-48F9-AC0C-EACD23955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55380" y="617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 editAs="oneCell">
    <xdr:from>
      <xdr:col>5</xdr:col>
      <xdr:colOff>373381</xdr:colOff>
      <xdr:row>6</xdr:row>
      <xdr:rowOff>563880</xdr:rowOff>
    </xdr:from>
    <xdr:to>
      <xdr:col>7</xdr:col>
      <xdr:colOff>525781</xdr:colOff>
      <xdr:row>8</xdr:row>
      <xdr:rowOff>64249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AFF8264-C4C9-D76A-54CC-19E7771B9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8361" y="3314700"/>
          <a:ext cx="1310640" cy="1153909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11</xdr:row>
      <xdr:rowOff>76200</xdr:rowOff>
    </xdr:from>
    <xdr:to>
      <xdr:col>10</xdr:col>
      <xdr:colOff>22167</xdr:colOff>
      <xdr:row>11</xdr:row>
      <xdr:rowOff>760268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CB840522-E75C-4D93-A81D-E521735B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1580" y="559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45720</xdr:colOff>
      <xdr:row>12</xdr:row>
      <xdr:rowOff>60960</xdr:rowOff>
    </xdr:from>
    <xdr:to>
      <xdr:col>9</xdr:col>
      <xdr:colOff>540327</xdr:colOff>
      <xdr:row>12</xdr:row>
      <xdr:rowOff>745028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633043BE-A333-4AEA-8E72-19EEB4CC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0" y="6385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</xdr:colOff>
      <xdr:row>14</xdr:row>
      <xdr:rowOff>22860</xdr:rowOff>
    </xdr:from>
    <xdr:to>
      <xdr:col>9</xdr:col>
      <xdr:colOff>381001</xdr:colOff>
      <xdr:row>15</xdr:row>
      <xdr:rowOff>51337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DE15646C-8AFF-4900-B73C-F4D1529FE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747761" y="7627620"/>
          <a:ext cx="3246120" cy="660937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0</xdr:colOff>
      <xdr:row>17</xdr:row>
      <xdr:rowOff>0</xdr:rowOff>
    </xdr:from>
    <xdr:to>
      <xdr:col>9</xdr:col>
      <xdr:colOff>494607</xdr:colOff>
      <xdr:row>18</xdr:row>
      <xdr:rowOff>51609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B0CC4B08-5B33-4480-B4C7-361AE8A7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55380" y="95707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10</xdr:row>
      <xdr:rowOff>76200</xdr:rowOff>
    </xdr:from>
    <xdr:to>
      <xdr:col>10</xdr:col>
      <xdr:colOff>37407</xdr:colOff>
      <xdr:row>10</xdr:row>
      <xdr:rowOff>760268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8EB4C5CA-39AA-47AA-A032-29796D560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4030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13</xdr:row>
      <xdr:rowOff>53340</xdr:rowOff>
    </xdr:from>
    <xdr:to>
      <xdr:col>10</xdr:col>
      <xdr:colOff>29787</xdr:colOff>
      <xdr:row>13</xdr:row>
      <xdr:rowOff>737409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D5E52B57-9830-4317-936D-3EDBDA3F3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71247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121920</xdr:colOff>
      <xdr:row>13</xdr:row>
      <xdr:rowOff>731520</xdr:rowOff>
    </xdr:from>
    <xdr:to>
      <xdr:col>10</xdr:col>
      <xdr:colOff>67887</xdr:colOff>
      <xdr:row>14</xdr:row>
      <xdr:rowOff>668829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D6170C7C-CE56-41EC-B580-1A2756EB8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77300" y="78028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15</xdr:row>
      <xdr:rowOff>99060</xdr:rowOff>
    </xdr:from>
    <xdr:to>
      <xdr:col>10</xdr:col>
      <xdr:colOff>52647</xdr:colOff>
      <xdr:row>15</xdr:row>
      <xdr:rowOff>783128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F103A1D4-8EA3-4454-B243-3A10F4BC4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2060" y="863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19</xdr:row>
      <xdr:rowOff>45720</xdr:rowOff>
    </xdr:from>
    <xdr:to>
      <xdr:col>10</xdr:col>
      <xdr:colOff>52647</xdr:colOff>
      <xdr:row>19</xdr:row>
      <xdr:rowOff>729788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ED1FF718-8F19-47FC-B3BE-68F88782F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2060" y="940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20</xdr:row>
      <xdr:rowOff>45720</xdr:rowOff>
    </xdr:from>
    <xdr:to>
      <xdr:col>10</xdr:col>
      <xdr:colOff>37407</xdr:colOff>
      <xdr:row>20</xdr:row>
      <xdr:rowOff>729789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E7AA47E4-9E2F-4A28-A083-E21847089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01955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21</xdr:row>
      <xdr:rowOff>30480</xdr:rowOff>
    </xdr:from>
    <xdr:to>
      <xdr:col>10</xdr:col>
      <xdr:colOff>45027</xdr:colOff>
      <xdr:row>21</xdr:row>
      <xdr:rowOff>676448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EB61AB74-8607-4F64-B042-A9BCAEEA5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54440" y="1099566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68580</xdr:colOff>
      <xdr:row>23</xdr:row>
      <xdr:rowOff>45720</xdr:rowOff>
    </xdr:from>
    <xdr:to>
      <xdr:col>10</xdr:col>
      <xdr:colOff>14547</xdr:colOff>
      <xdr:row>23</xdr:row>
      <xdr:rowOff>729789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85ADB35C-7151-4A93-8E09-B7E951A6D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3960" y="119481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24</xdr:row>
      <xdr:rowOff>30480</xdr:rowOff>
    </xdr:from>
    <xdr:to>
      <xdr:col>10</xdr:col>
      <xdr:colOff>29787</xdr:colOff>
      <xdr:row>25</xdr:row>
      <xdr:rowOff>28748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CF55B4D0-3CEE-4F2C-BC3E-CEE89DFE3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9200" y="12649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31</xdr:row>
      <xdr:rowOff>30480</xdr:rowOff>
    </xdr:from>
    <xdr:to>
      <xdr:col>10</xdr:col>
      <xdr:colOff>6927</xdr:colOff>
      <xdr:row>31</xdr:row>
      <xdr:rowOff>714548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358075D-75B4-4156-BAD1-8596212B8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16340" y="15331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30</xdr:row>
      <xdr:rowOff>7620</xdr:rowOff>
    </xdr:from>
    <xdr:to>
      <xdr:col>10</xdr:col>
      <xdr:colOff>29787</xdr:colOff>
      <xdr:row>30</xdr:row>
      <xdr:rowOff>691688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79102ACF-8749-4D60-89B0-B553AD32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39200" y="14584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114301</xdr:colOff>
      <xdr:row>3</xdr:row>
      <xdr:rowOff>60960</xdr:rowOff>
    </xdr:from>
    <xdr:to>
      <xdr:col>9</xdr:col>
      <xdr:colOff>434341</xdr:colOff>
      <xdr:row>4</xdr:row>
      <xdr:rowOff>23665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FEFBCA60-9A9B-49A5-B802-4CD6F90B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69681" y="678180"/>
          <a:ext cx="3185160" cy="671365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91441</xdr:colOff>
      <xdr:row>4</xdr:row>
      <xdr:rowOff>68581</xdr:rowOff>
    </xdr:from>
    <xdr:to>
      <xdr:col>9</xdr:col>
      <xdr:colOff>472441</xdr:colOff>
      <xdr:row>4</xdr:row>
      <xdr:rowOff>729519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7C137ED5-9DB7-4818-A803-73BD6CC3B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46821" y="1394461"/>
          <a:ext cx="3246120" cy="66093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53340</xdr:colOff>
      <xdr:row>7</xdr:row>
      <xdr:rowOff>53340</xdr:rowOff>
    </xdr:from>
    <xdr:to>
      <xdr:col>9</xdr:col>
      <xdr:colOff>547947</xdr:colOff>
      <xdr:row>7</xdr:row>
      <xdr:rowOff>737408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E566A07F-D0A8-4D00-B0A7-5D3F42F13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08720" y="23926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30480</xdr:colOff>
      <xdr:row>12</xdr:row>
      <xdr:rowOff>76200</xdr:rowOff>
    </xdr:from>
    <xdr:to>
      <xdr:col>9</xdr:col>
      <xdr:colOff>525087</xdr:colOff>
      <xdr:row>12</xdr:row>
      <xdr:rowOff>760268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A6E9F7C3-82DE-4F7E-834E-5FBD5933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8240" y="53340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16</xdr:row>
      <xdr:rowOff>53340</xdr:rowOff>
    </xdr:from>
    <xdr:to>
      <xdr:col>10</xdr:col>
      <xdr:colOff>52647</xdr:colOff>
      <xdr:row>16</xdr:row>
      <xdr:rowOff>737408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F85F43D1-0C05-4AE3-BF99-BB3DDA25D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2060" y="8336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17</xdr:row>
      <xdr:rowOff>68580</xdr:rowOff>
    </xdr:from>
    <xdr:to>
      <xdr:col>10</xdr:col>
      <xdr:colOff>29787</xdr:colOff>
      <xdr:row>17</xdr:row>
      <xdr:rowOff>752648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EB6FB6BB-DCF2-42CF-80EA-4E35E534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91744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18</xdr:row>
      <xdr:rowOff>91440</xdr:rowOff>
    </xdr:from>
    <xdr:to>
      <xdr:col>10</xdr:col>
      <xdr:colOff>52647</xdr:colOff>
      <xdr:row>18</xdr:row>
      <xdr:rowOff>775508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DD6D29C-461C-4406-A0F0-ECA4C5C5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62060" y="100203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152400</xdr:colOff>
      <xdr:row>5</xdr:row>
      <xdr:rowOff>0</xdr:rowOff>
    </xdr:from>
    <xdr:to>
      <xdr:col>9</xdr:col>
      <xdr:colOff>533400</xdr:colOff>
      <xdr:row>5</xdr:row>
      <xdr:rowOff>660938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ACB63BC9-934C-4600-A106-16B5D1203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00160" y="2057400"/>
          <a:ext cx="3246120" cy="66093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46</xdr:row>
      <xdr:rowOff>45720</xdr:rowOff>
    </xdr:from>
    <xdr:to>
      <xdr:col>10</xdr:col>
      <xdr:colOff>14547</xdr:colOff>
      <xdr:row>46</xdr:row>
      <xdr:rowOff>729789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A55C07D6-9FA5-44F6-B553-39E00321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133426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47</xdr:row>
      <xdr:rowOff>30480</xdr:rowOff>
    </xdr:from>
    <xdr:to>
      <xdr:col>10</xdr:col>
      <xdr:colOff>29787</xdr:colOff>
      <xdr:row>48</xdr:row>
      <xdr:rowOff>28748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6412D0C6-0DB0-49DC-AE89-F1075490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4043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54</xdr:row>
      <xdr:rowOff>30480</xdr:rowOff>
    </xdr:from>
    <xdr:to>
      <xdr:col>10</xdr:col>
      <xdr:colOff>6927</xdr:colOff>
      <xdr:row>54</xdr:row>
      <xdr:rowOff>714548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D581DD28-0028-4507-9680-689D10F70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167259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53</xdr:row>
      <xdr:rowOff>7620</xdr:rowOff>
    </xdr:from>
    <xdr:to>
      <xdr:col>10</xdr:col>
      <xdr:colOff>29787</xdr:colOff>
      <xdr:row>53</xdr:row>
      <xdr:rowOff>691688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289444DC-F47C-4768-8753-BB8A27747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15979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335281</xdr:colOff>
      <xdr:row>3</xdr:row>
      <xdr:rowOff>76201</xdr:rowOff>
    </xdr:from>
    <xdr:to>
      <xdr:col>9</xdr:col>
      <xdr:colOff>259081</xdr:colOff>
      <xdr:row>3</xdr:row>
      <xdr:rowOff>628809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9DEE0B32-976E-4B50-8164-4421B87E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90661" y="693421"/>
          <a:ext cx="2788920" cy="55260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4</xdr:row>
      <xdr:rowOff>60961</xdr:rowOff>
    </xdr:from>
    <xdr:to>
      <xdr:col>10</xdr:col>
      <xdr:colOff>29787</xdr:colOff>
      <xdr:row>4</xdr:row>
      <xdr:rowOff>716280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E7834B7-4EE5-494C-AE14-41D272D69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31580" y="1310641"/>
          <a:ext cx="3359727" cy="65531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28</xdr:row>
      <xdr:rowOff>68580</xdr:rowOff>
    </xdr:from>
    <xdr:to>
      <xdr:col>10</xdr:col>
      <xdr:colOff>6927</xdr:colOff>
      <xdr:row>28</xdr:row>
      <xdr:rowOff>752648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3EB47DD0-DEE3-4909-A5B5-FBAC559B6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16340" y="8625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29</xdr:row>
      <xdr:rowOff>22860</xdr:rowOff>
    </xdr:from>
    <xdr:to>
      <xdr:col>10</xdr:col>
      <xdr:colOff>45027</xdr:colOff>
      <xdr:row>29</xdr:row>
      <xdr:rowOff>706928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D851EE78-79AC-40AD-BAAD-4A394AF3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54440" y="9387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30</xdr:row>
      <xdr:rowOff>45720</xdr:rowOff>
    </xdr:from>
    <xdr:to>
      <xdr:col>10</xdr:col>
      <xdr:colOff>37407</xdr:colOff>
      <xdr:row>30</xdr:row>
      <xdr:rowOff>729788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77282558-0B60-4A37-A2D5-B67B9F8C8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46820" y="10218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31</xdr:row>
      <xdr:rowOff>45720</xdr:rowOff>
    </xdr:from>
    <xdr:to>
      <xdr:col>10</xdr:col>
      <xdr:colOff>29787</xdr:colOff>
      <xdr:row>31</xdr:row>
      <xdr:rowOff>729788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B95BD2E2-E9E0-4C89-8CEC-FEABDB1CB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39200" y="11026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33</xdr:row>
      <xdr:rowOff>76200</xdr:rowOff>
    </xdr:from>
    <xdr:to>
      <xdr:col>10</xdr:col>
      <xdr:colOff>52647</xdr:colOff>
      <xdr:row>33</xdr:row>
      <xdr:rowOff>760268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8AC55BC2-2950-43DC-B673-9AB634FE0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12519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32</xdr:row>
      <xdr:rowOff>38100</xdr:rowOff>
    </xdr:from>
    <xdr:to>
      <xdr:col>10</xdr:col>
      <xdr:colOff>75507</xdr:colOff>
      <xdr:row>33</xdr:row>
      <xdr:rowOff>5888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38E3E305-B0AA-4B8D-A97A-988B5213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84920" y="11765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34</xdr:row>
      <xdr:rowOff>76200</xdr:rowOff>
    </xdr:from>
    <xdr:to>
      <xdr:col>10</xdr:col>
      <xdr:colOff>52647</xdr:colOff>
      <xdr:row>34</xdr:row>
      <xdr:rowOff>760268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5725F462-720A-4C37-9C3C-01C1D1DE0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13342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35</xdr:row>
      <xdr:rowOff>60960</xdr:rowOff>
    </xdr:from>
    <xdr:to>
      <xdr:col>10</xdr:col>
      <xdr:colOff>37407</xdr:colOff>
      <xdr:row>35</xdr:row>
      <xdr:rowOff>745028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C8A8F7D1-1B45-48BF-AAE4-470899E96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141503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38100</xdr:colOff>
      <xdr:row>43</xdr:row>
      <xdr:rowOff>53340</xdr:rowOff>
    </xdr:from>
    <xdr:to>
      <xdr:col>9</xdr:col>
      <xdr:colOff>532707</xdr:colOff>
      <xdr:row>43</xdr:row>
      <xdr:rowOff>737408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71432DDC-9F67-4A61-9077-99EB25F78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93480" y="15194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114300</xdr:colOff>
      <xdr:row>44</xdr:row>
      <xdr:rowOff>53340</xdr:rowOff>
    </xdr:from>
    <xdr:to>
      <xdr:col>10</xdr:col>
      <xdr:colOff>60267</xdr:colOff>
      <xdr:row>44</xdr:row>
      <xdr:rowOff>737409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F0CA9BF5-8CE6-4801-95F0-1DE87DDC2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69680" y="160172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37</xdr:row>
      <xdr:rowOff>53340</xdr:rowOff>
    </xdr:from>
    <xdr:to>
      <xdr:col>10</xdr:col>
      <xdr:colOff>6927</xdr:colOff>
      <xdr:row>38</xdr:row>
      <xdr:rowOff>13509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947F84E5-F33B-4A35-84ED-6362AA01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16340" y="151942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18</xdr:row>
      <xdr:rowOff>45720</xdr:rowOff>
    </xdr:from>
    <xdr:to>
      <xdr:col>10</xdr:col>
      <xdr:colOff>14547</xdr:colOff>
      <xdr:row>18</xdr:row>
      <xdr:rowOff>714549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BCFBDCFE-E14D-49CB-ACB1-5ACC36F9A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6340" y="957072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4</xdr:row>
      <xdr:rowOff>0</xdr:rowOff>
    </xdr:from>
    <xdr:to>
      <xdr:col>10</xdr:col>
      <xdr:colOff>6927</xdr:colOff>
      <xdr:row>4</xdr:row>
      <xdr:rowOff>13509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65500140-7002-4FA0-9631-E9C33961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3106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7</xdr:row>
      <xdr:rowOff>68580</xdr:rowOff>
    </xdr:from>
    <xdr:to>
      <xdr:col>10</xdr:col>
      <xdr:colOff>6927</xdr:colOff>
      <xdr:row>7</xdr:row>
      <xdr:rowOff>752648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C507E0AA-6903-4510-80DB-F75AF52A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8625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9</xdr:row>
      <xdr:rowOff>45720</xdr:rowOff>
    </xdr:from>
    <xdr:to>
      <xdr:col>10</xdr:col>
      <xdr:colOff>37407</xdr:colOff>
      <xdr:row>9</xdr:row>
      <xdr:rowOff>729788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3E7AEE45-0425-4013-AD66-A320E9540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6820" y="10218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12</xdr:row>
      <xdr:rowOff>76200</xdr:rowOff>
    </xdr:from>
    <xdr:to>
      <xdr:col>10</xdr:col>
      <xdr:colOff>52647</xdr:colOff>
      <xdr:row>12</xdr:row>
      <xdr:rowOff>760268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7DAAEB6B-A161-4D73-A509-67BCF556C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2060" y="12519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11</xdr:row>
      <xdr:rowOff>38100</xdr:rowOff>
    </xdr:from>
    <xdr:to>
      <xdr:col>10</xdr:col>
      <xdr:colOff>75507</xdr:colOff>
      <xdr:row>12</xdr:row>
      <xdr:rowOff>5888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F3774A6D-A7EE-42BC-A607-7453CE2E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84920" y="11765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</xdr:colOff>
      <xdr:row>3</xdr:row>
      <xdr:rowOff>0</xdr:rowOff>
    </xdr:from>
    <xdr:to>
      <xdr:col>9</xdr:col>
      <xdr:colOff>396241</xdr:colOff>
      <xdr:row>4</xdr:row>
      <xdr:rowOff>31581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B17FFA4B-3962-4AA0-8C93-D06C442F5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55381" y="617220"/>
          <a:ext cx="3261360" cy="664041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144780</xdr:colOff>
      <xdr:row>10</xdr:row>
      <xdr:rowOff>30480</xdr:rowOff>
    </xdr:from>
    <xdr:to>
      <xdr:col>10</xdr:col>
      <xdr:colOff>90747</xdr:colOff>
      <xdr:row>10</xdr:row>
      <xdr:rowOff>714548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7F04A788-9992-403F-9223-2EFDD3C2E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00160" y="52273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8</xdr:row>
      <xdr:rowOff>60960</xdr:rowOff>
    </xdr:from>
    <xdr:to>
      <xdr:col>10</xdr:col>
      <xdr:colOff>37407</xdr:colOff>
      <xdr:row>8</xdr:row>
      <xdr:rowOff>745028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69FAB91E-AF1B-442F-9B5E-9F9B3B4E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3642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14</xdr:row>
      <xdr:rowOff>30480</xdr:rowOff>
    </xdr:from>
    <xdr:to>
      <xdr:col>10</xdr:col>
      <xdr:colOff>6927</xdr:colOff>
      <xdr:row>14</xdr:row>
      <xdr:rowOff>714548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528E9AE3-30E0-49C7-AF1D-32EE3F9EA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16340" y="77419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40</xdr:row>
      <xdr:rowOff>45720</xdr:rowOff>
    </xdr:from>
    <xdr:to>
      <xdr:col>10</xdr:col>
      <xdr:colOff>14547</xdr:colOff>
      <xdr:row>40</xdr:row>
      <xdr:rowOff>729789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8C3DA5EF-628C-4FB8-A761-C48B98A36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3960" y="9509760"/>
          <a:ext cx="3359727" cy="66882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41</xdr:row>
      <xdr:rowOff>30480</xdr:rowOff>
    </xdr:from>
    <xdr:to>
      <xdr:col>10</xdr:col>
      <xdr:colOff>29787</xdr:colOff>
      <xdr:row>42</xdr:row>
      <xdr:rowOff>28748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A13A4C77-C2E3-4645-93F8-47663095C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102108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21</xdr:row>
      <xdr:rowOff>68580</xdr:rowOff>
    </xdr:from>
    <xdr:to>
      <xdr:col>10</xdr:col>
      <xdr:colOff>6927</xdr:colOff>
      <xdr:row>21</xdr:row>
      <xdr:rowOff>752648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E77C3453-5345-4C44-A6F1-957BBF08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2842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114300</xdr:colOff>
      <xdr:row>25</xdr:row>
      <xdr:rowOff>0</xdr:rowOff>
    </xdr:from>
    <xdr:to>
      <xdr:col>10</xdr:col>
      <xdr:colOff>60267</xdr:colOff>
      <xdr:row>25</xdr:row>
      <xdr:rowOff>21128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89A64B2A-D5F8-473A-A190-5529EFDF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9680" y="17000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22</xdr:row>
      <xdr:rowOff>68580</xdr:rowOff>
    </xdr:from>
    <xdr:to>
      <xdr:col>10</xdr:col>
      <xdr:colOff>22167</xdr:colOff>
      <xdr:row>22</xdr:row>
      <xdr:rowOff>752648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9B6F3041-B675-43EA-9820-D686F506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1580" y="14653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23</xdr:row>
      <xdr:rowOff>30480</xdr:rowOff>
    </xdr:from>
    <xdr:to>
      <xdr:col>10</xdr:col>
      <xdr:colOff>37407</xdr:colOff>
      <xdr:row>23</xdr:row>
      <xdr:rowOff>714548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435E94A3-C69D-4D0A-B5C5-6D8A85A0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54228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25</xdr:row>
      <xdr:rowOff>99060</xdr:rowOff>
    </xdr:from>
    <xdr:to>
      <xdr:col>10</xdr:col>
      <xdr:colOff>45027</xdr:colOff>
      <xdr:row>25</xdr:row>
      <xdr:rowOff>783128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88AC2310-1AC6-46FE-A48F-75D43CEA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4440" y="17762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137160</xdr:colOff>
      <xdr:row>27</xdr:row>
      <xdr:rowOff>60960</xdr:rowOff>
    </xdr:from>
    <xdr:to>
      <xdr:col>10</xdr:col>
      <xdr:colOff>83127</xdr:colOff>
      <xdr:row>27</xdr:row>
      <xdr:rowOff>745028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2D70992A-9DF7-493B-BEC7-920A66C32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92540" y="188366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28</xdr:row>
      <xdr:rowOff>68580</xdr:rowOff>
    </xdr:from>
    <xdr:to>
      <xdr:col>10</xdr:col>
      <xdr:colOff>52647</xdr:colOff>
      <xdr:row>28</xdr:row>
      <xdr:rowOff>752648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C0364ABF-A375-4203-967F-93CEB56C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62060" y="1967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29</xdr:row>
      <xdr:rowOff>220980</xdr:rowOff>
    </xdr:from>
    <xdr:to>
      <xdr:col>10</xdr:col>
      <xdr:colOff>22167</xdr:colOff>
      <xdr:row>30</xdr:row>
      <xdr:rowOff>676448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ABD92724-D2A5-4D7A-AE6E-C134F99D9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1580" y="20650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31</xdr:row>
      <xdr:rowOff>1</xdr:rowOff>
    </xdr:from>
    <xdr:to>
      <xdr:col>10</xdr:col>
      <xdr:colOff>29787</xdr:colOff>
      <xdr:row>31</xdr:row>
      <xdr:rowOff>708661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D5DA938E-1D9E-4D8C-A195-3FB05D8DE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39200" y="2138172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32</xdr:row>
      <xdr:rowOff>30480</xdr:rowOff>
    </xdr:from>
    <xdr:to>
      <xdr:col>10</xdr:col>
      <xdr:colOff>6927</xdr:colOff>
      <xdr:row>33</xdr:row>
      <xdr:rowOff>21129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27963C26-632D-499C-881D-EEA1F16DB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16340" y="221361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53340</xdr:colOff>
      <xdr:row>32</xdr:row>
      <xdr:rowOff>685800</xdr:rowOff>
    </xdr:from>
    <xdr:to>
      <xdr:col>9</xdr:col>
      <xdr:colOff>547947</xdr:colOff>
      <xdr:row>33</xdr:row>
      <xdr:rowOff>676449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ABD1678-FC18-4C0F-8BEB-B0F42EF9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08720" y="227914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34</xdr:row>
      <xdr:rowOff>7620</xdr:rowOff>
    </xdr:from>
    <xdr:to>
      <xdr:col>10</xdr:col>
      <xdr:colOff>45027</xdr:colOff>
      <xdr:row>34</xdr:row>
      <xdr:rowOff>691689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910574F9-C45C-4A4E-8CFD-264D5A3B2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54440" y="2348484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121920</xdr:colOff>
      <xdr:row>24</xdr:row>
      <xdr:rowOff>53340</xdr:rowOff>
    </xdr:from>
    <xdr:to>
      <xdr:col>10</xdr:col>
      <xdr:colOff>67887</xdr:colOff>
      <xdr:row>24</xdr:row>
      <xdr:rowOff>737408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3F78BBC5-88C1-4505-B8BA-FEBA2B87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1625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 editAs="oneCell">
    <xdr:from>
      <xdr:col>5</xdr:col>
      <xdr:colOff>203890</xdr:colOff>
      <xdr:row>3</xdr:row>
      <xdr:rowOff>22861</xdr:rowOff>
    </xdr:from>
    <xdr:to>
      <xdr:col>6</xdr:col>
      <xdr:colOff>411788</xdr:colOff>
      <xdr:row>4</xdr:row>
      <xdr:rowOff>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F454AB7-B582-5BE0-E309-F8B7544B2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68870" y="640081"/>
          <a:ext cx="817498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4</xdr:row>
      <xdr:rowOff>53340</xdr:rowOff>
    </xdr:from>
    <xdr:to>
      <xdr:col>7</xdr:col>
      <xdr:colOff>211858</xdr:colOff>
      <xdr:row>4</xdr:row>
      <xdr:rowOff>796461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F61472E-C869-431A-3B44-1EC816C0D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418320" y="1303020"/>
          <a:ext cx="1316758" cy="743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29883</xdr:rowOff>
    </xdr:from>
    <xdr:to>
      <xdr:col>4</xdr:col>
      <xdr:colOff>190500</xdr:colOff>
      <xdr:row>83</xdr:row>
      <xdr:rowOff>23112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9FE061C-6A66-195B-6722-703C5A06D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2830118"/>
          <a:ext cx="8938559" cy="32877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</xdr:colOff>
      <xdr:row>43</xdr:row>
      <xdr:rowOff>30480</xdr:rowOff>
    </xdr:from>
    <xdr:to>
      <xdr:col>10</xdr:col>
      <xdr:colOff>29787</xdr:colOff>
      <xdr:row>44</xdr:row>
      <xdr:rowOff>28748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2C1F5306-C144-4D0E-90EF-FC6554FF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271424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4</xdr:row>
      <xdr:rowOff>0</xdr:rowOff>
    </xdr:from>
    <xdr:to>
      <xdr:col>10</xdr:col>
      <xdr:colOff>6927</xdr:colOff>
      <xdr:row>4</xdr:row>
      <xdr:rowOff>13509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424A7427-589F-4D25-81A1-6A1930FA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249680"/>
          <a:ext cx="3359727" cy="1350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30</xdr:row>
      <xdr:rowOff>68580</xdr:rowOff>
    </xdr:from>
    <xdr:to>
      <xdr:col>10</xdr:col>
      <xdr:colOff>6927</xdr:colOff>
      <xdr:row>30</xdr:row>
      <xdr:rowOff>752648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E989581D-7622-4AA5-BDC1-B156AF872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6340" y="138455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33</xdr:row>
      <xdr:rowOff>38100</xdr:rowOff>
    </xdr:from>
    <xdr:to>
      <xdr:col>10</xdr:col>
      <xdr:colOff>52647</xdr:colOff>
      <xdr:row>33</xdr:row>
      <xdr:rowOff>722168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93D79146-059C-4EC8-AA1F-E050AF517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2060" y="16238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31</xdr:row>
      <xdr:rowOff>68580</xdr:rowOff>
    </xdr:from>
    <xdr:to>
      <xdr:col>10</xdr:col>
      <xdr:colOff>22167</xdr:colOff>
      <xdr:row>31</xdr:row>
      <xdr:rowOff>752648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EC32EF0E-A04C-4570-9FAF-23430F58F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1580" y="14653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32</xdr:row>
      <xdr:rowOff>30480</xdr:rowOff>
    </xdr:from>
    <xdr:to>
      <xdr:col>10</xdr:col>
      <xdr:colOff>37407</xdr:colOff>
      <xdr:row>32</xdr:row>
      <xdr:rowOff>714548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1AFA60C2-82C4-4045-BB8A-4EA153504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54228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37</xdr:row>
      <xdr:rowOff>68580</xdr:rowOff>
    </xdr:from>
    <xdr:to>
      <xdr:col>10</xdr:col>
      <xdr:colOff>52647</xdr:colOff>
      <xdr:row>37</xdr:row>
      <xdr:rowOff>752648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B4F52276-FAF0-4B5D-801B-283388C90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2060" y="1967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38</xdr:row>
      <xdr:rowOff>220980</xdr:rowOff>
    </xdr:from>
    <xdr:to>
      <xdr:col>10</xdr:col>
      <xdr:colOff>22167</xdr:colOff>
      <xdr:row>39</xdr:row>
      <xdr:rowOff>676448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6A78634F-B421-4C63-8854-CF94227F9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31580" y="206502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40</xdr:row>
      <xdr:rowOff>1</xdr:rowOff>
    </xdr:from>
    <xdr:to>
      <xdr:col>10</xdr:col>
      <xdr:colOff>29787</xdr:colOff>
      <xdr:row>40</xdr:row>
      <xdr:rowOff>708661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82D5DAEA-D442-49C0-B178-F07A01388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39200" y="21381721"/>
          <a:ext cx="3359727" cy="708660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41</xdr:row>
      <xdr:rowOff>30480</xdr:rowOff>
    </xdr:from>
    <xdr:to>
      <xdr:col>10</xdr:col>
      <xdr:colOff>6927</xdr:colOff>
      <xdr:row>42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54690CDE-3781-4D60-B930-4DE47514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16340" y="221361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53340</xdr:colOff>
      <xdr:row>41</xdr:row>
      <xdr:rowOff>685800</xdr:rowOff>
    </xdr:from>
    <xdr:to>
      <xdr:col>9</xdr:col>
      <xdr:colOff>547947</xdr:colOff>
      <xdr:row>42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D04633ED-CCB6-44EF-9361-7D4DB614E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08720" y="227914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45720</xdr:colOff>
      <xdr:row>2</xdr:row>
      <xdr:rowOff>175260</xdr:rowOff>
    </xdr:from>
    <xdr:to>
      <xdr:col>9</xdr:col>
      <xdr:colOff>540327</xdr:colOff>
      <xdr:row>4</xdr:row>
      <xdr:rowOff>21128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53EE838B-376F-4250-A5E4-F5D28AA3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01100" y="5867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205740</xdr:colOff>
      <xdr:row>36</xdr:row>
      <xdr:rowOff>60960</xdr:rowOff>
    </xdr:from>
    <xdr:to>
      <xdr:col>10</xdr:col>
      <xdr:colOff>151707</xdr:colOff>
      <xdr:row>36</xdr:row>
      <xdr:rowOff>745028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364F8683-4AB1-4205-B497-EB0F1D2FC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61120" y="18227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60960</xdr:rowOff>
    </xdr:from>
    <xdr:to>
      <xdr:col>10</xdr:col>
      <xdr:colOff>22167</xdr:colOff>
      <xdr:row>4</xdr:row>
      <xdr:rowOff>745029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E64304C6-FC54-49CD-B371-7FE1F30B0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1580" y="48234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3</xdr:row>
      <xdr:rowOff>76200</xdr:rowOff>
    </xdr:from>
    <xdr:to>
      <xdr:col>10</xdr:col>
      <xdr:colOff>37407</xdr:colOff>
      <xdr:row>3</xdr:row>
      <xdr:rowOff>760268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32016761-12A5-4ECF-ACA3-9D37C1B04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4030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5</xdr:row>
      <xdr:rowOff>441960</xdr:rowOff>
    </xdr:from>
    <xdr:to>
      <xdr:col>10</xdr:col>
      <xdr:colOff>29787</xdr:colOff>
      <xdr:row>7</xdr:row>
      <xdr:rowOff>21128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C0BC9764-DA4E-4201-A0AE-07B209644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6019800"/>
          <a:ext cx="3359727" cy="50880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9</xdr:row>
      <xdr:rowOff>53340</xdr:rowOff>
    </xdr:from>
    <xdr:to>
      <xdr:col>10</xdr:col>
      <xdr:colOff>29787</xdr:colOff>
      <xdr:row>9</xdr:row>
      <xdr:rowOff>737409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2DB6F334-5DEF-4DD8-B081-99EB29CE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712470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121920</xdr:colOff>
      <xdr:row>9</xdr:row>
      <xdr:rowOff>731520</xdr:rowOff>
    </xdr:from>
    <xdr:to>
      <xdr:col>10</xdr:col>
      <xdr:colOff>67887</xdr:colOff>
      <xdr:row>10</xdr:row>
      <xdr:rowOff>668829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6547DF25-F979-46E3-9D1C-4966F37B3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78028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11</xdr:row>
      <xdr:rowOff>99060</xdr:rowOff>
    </xdr:from>
    <xdr:to>
      <xdr:col>10</xdr:col>
      <xdr:colOff>52647</xdr:colOff>
      <xdr:row>11</xdr:row>
      <xdr:rowOff>783128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90389D9A-3FEB-49D9-AB07-8340178E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2060" y="86334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12</xdr:row>
      <xdr:rowOff>45720</xdr:rowOff>
    </xdr:from>
    <xdr:to>
      <xdr:col>10</xdr:col>
      <xdr:colOff>52647</xdr:colOff>
      <xdr:row>12</xdr:row>
      <xdr:rowOff>729788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DA415261-EE9F-420D-AA8C-C9577A185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2060" y="940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13</xdr:row>
      <xdr:rowOff>45720</xdr:rowOff>
    </xdr:from>
    <xdr:to>
      <xdr:col>10</xdr:col>
      <xdr:colOff>37407</xdr:colOff>
      <xdr:row>13</xdr:row>
      <xdr:rowOff>729789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4604F5E-588C-4EF9-8A53-BBC17B00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01955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14</xdr:row>
      <xdr:rowOff>30480</xdr:rowOff>
    </xdr:from>
    <xdr:to>
      <xdr:col>10</xdr:col>
      <xdr:colOff>45027</xdr:colOff>
      <xdr:row>14</xdr:row>
      <xdr:rowOff>676448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A66AA7AD-6C47-4BFB-9C6A-E67BD5465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4440" y="1099566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17</xdr:row>
      <xdr:rowOff>76200</xdr:rowOff>
    </xdr:from>
    <xdr:to>
      <xdr:col>10</xdr:col>
      <xdr:colOff>22167</xdr:colOff>
      <xdr:row>17</xdr:row>
      <xdr:rowOff>760268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AFBDC9EE-4262-4F19-82F7-228C878C5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1580" y="5593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45720</xdr:colOff>
      <xdr:row>18</xdr:row>
      <xdr:rowOff>60960</xdr:rowOff>
    </xdr:from>
    <xdr:to>
      <xdr:col>9</xdr:col>
      <xdr:colOff>540327</xdr:colOff>
      <xdr:row>18</xdr:row>
      <xdr:rowOff>745028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BFD448B-F6F3-4DE6-A378-78B2343D5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1100" y="63855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</xdr:colOff>
      <xdr:row>20</xdr:row>
      <xdr:rowOff>0</xdr:rowOff>
    </xdr:from>
    <xdr:to>
      <xdr:col>9</xdr:col>
      <xdr:colOff>381001</xdr:colOff>
      <xdr:row>21</xdr:row>
      <xdr:rowOff>28477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2F883F84-91D3-48B4-B472-3ABE313E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55381" y="8382000"/>
          <a:ext cx="3246120" cy="660937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24</xdr:row>
      <xdr:rowOff>76200</xdr:rowOff>
    </xdr:from>
    <xdr:to>
      <xdr:col>10</xdr:col>
      <xdr:colOff>37407</xdr:colOff>
      <xdr:row>24</xdr:row>
      <xdr:rowOff>760268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DD5EE70D-DBCD-42E2-A2B9-5B5C31998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820" y="36499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27</xdr:row>
      <xdr:rowOff>53340</xdr:rowOff>
    </xdr:from>
    <xdr:to>
      <xdr:col>10</xdr:col>
      <xdr:colOff>29787</xdr:colOff>
      <xdr:row>27</xdr:row>
      <xdr:rowOff>737409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67D594C9-2230-45B0-8DE5-C252D1445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39200" y="605028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121920</xdr:colOff>
      <xdr:row>27</xdr:row>
      <xdr:rowOff>731520</xdr:rowOff>
    </xdr:from>
    <xdr:to>
      <xdr:col>10</xdr:col>
      <xdr:colOff>67887</xdr:colOff>
      <xdr:row>28</xdr:row>
      <xdr:rowOff>668829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DB7D51D4-2926-43C3-A31B-1E5BDD69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672846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29</xdr:row>
      <xdr:rowOff>99060</xdr:rowOff>
    </xdr:from>
    <xdr:to>
      <xdr:col>10</xdr:col>
      <xdr:colOff>52647</xdr:colOff>
      <xdr:row>29</xdr:row>
      <xdr:rowOff>783128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B9B7298B-FB39-41B6-974C-AD5DFC0F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62060" y="75590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33</xdr:row>
      <xdr:rowOff>45720</xdr:rowOff>
    </xdr:from>
    <xdr:to>
      <xdr:col>10</xdr:col>
      <xdr:colOff>52647</xdr:colOff>
      <xdr:row>33</xdr:row>
      <xdr:rowOff>729788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8FF9064-6C1B-4D72-AE72-3D3C9D8D5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2060" y="107975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34</xdr:row>
      <xdr:rowOff>45720</xdr:rowOff>
    </xdr:from>
    <xdr:to>
      <xdr:col>10</xdr:col>
      <xdr:colOff>37407</xdr:colOff>
      <xdr:row>34</xdr:row>
      <xdr:rowOff>729789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21F9405D-3D1B-4463-AB87-EAA3F8ADC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6820" y="11590020"/>
          <a:ext cx="3359727" cy="684069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35</xdr:row>
      <xdr:rowOff>30480</xdr:rowOff>
    </xdr:from>
    <xdr:to>
      <xdr:col>10</xdr:col>
      <xdr:colOff>45027</xdr:colOff>
      <xdr:row>35</xdr:row>
      <xdr:rowOff>676448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FC9D7F55-FA9E-4553-AA47-3AED12E0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4440" y="12390120"/>
          <a:ext cx="3359727" cy="6459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0</xdr:colOff>
      <xdr:row>26</xdr:row>
      <xdr:rowOff>76200</xdr:rowOff>
    </xdr:from>
    <xdr:to>
      <xdr:col>9</xdr:col>
      <xdr:colOff>494607</xdr:colOff>
      <xdr:row>26</xdr:row>
      <xdr:rowOff>760268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6C58708A-F485-4330-8449-992709340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5380" y="5265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30</xdr:row>
      <xdr:rowOff>53340</xdr:rowOff>
    </xdr:from>
    <xdr:to>
      <xdr:col>10</xdr:col>
      <xdr:colOff>52647</xdr:colOff>
      <xdr:row>30</xdr:row>
      <xdr:rowOff>737408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FE749640-6700-4ED4-BAD0-71721A458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2060" y="8336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31</xdr:row>
      <xdr:rowOff>68580</xdr:rowOff>
    </xdr:from>
    <xdr:to>
      <xdr:col>10</xdr:col>
      <xdr:colOff>29787</xdr:colOff>
      <xdr:row>31</xdr:row>
      <xdr:rowOff>752648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5BD07670-67F5-4C31-95E2-BB7B9D46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91744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32</xdr:row>
      <xdr:rowOff>91440</xdr:rowOff>
    </xdr:from>
    <xdr:to>
      <xdr:col>10</xdr:col>
      <xdr:colOff>52647</xdr:colOff>
      <xdr:row>32</xdr:row>
      <xdr:rowOff>775508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E10A2E3E-516B-460C-90AA-F5764559C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62060" y="100203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38</xdr:row>
      <xdr:rowOff>68580</xdr:rowOff>
    </xdr:from>
    <xdr:to>
      <xdr:col>10</xdr:col>
      <xdr:colOff>6927</xdr:colOff>
      <xdr:row>38</xdr:row>
      <xdr:rowOff>752648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CB1BEA50-B3F2-42E1-98CE-EA1EDE8D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8625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99060</xdr:colOff>
      <xdr:row>39</xdr:row>
      <xdr:rowOff>22860</xdr:rowOff>
    </xdr:from>
    <xdr:to>
      <xdr:col>10</xdr:col>
      <xdr:colOff>45027</xdr:colOff>
      <xdr:row>39</xdr:row>
      <xdr:rowOff>706928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20EECDBA-279C-43CB-9B0C-7409A0282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4440" y="9387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40</xdr:row>
      <xdr:rowOff>45720</xdr:rowOff>
    </xdr:from>
    <xdr:to>
      <xdr:col>10</xdr:col>
      <xdr:colOff>37407</xdr:colOff>
      <xdr:row>40</xdr:row>
      <xdr:rowOff>729788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15DF5BCD-AE88-45B5-91D3-FE057E7B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102184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83820</xdr:colOff>
      <xdr:row>41</xdr:row>
      <xdr:rowOff>45720</xdr:rowOff>
    </xdr:from>
    <xdr:to>
      <xdr:col>10</xdr:col>
      <xdr:colOff>29787</xdr:colOff>
      <xdr:row>41</xdr:row>
      <xdr:rowOff>729788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FE33C1F5-7155-46A0-BA73-64B3D25C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39200" y="110261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43</xdr:row>
      <xdr:rowOff>76200</xdr:rowOff>
    </xdr:from>
    <xdr:to>
      <xdr:col>10</xdr:col>
      <xdr:colOff>52647</xdr:colOff>
      <xdr:row>43</xdr:row>
      <xdr:rowOff>760268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7115D99B-5DAA-46B6-B90F-0B402AF97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25196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42</xdr:row>
      <xdr:rowOff>38100</xdr:rowOff>
    </xdr:from>
    <xdr:to>
      <xdr:col>10</xdr:col>
      <xdr:colOff>75507</xdr:colOff>
      <xdr:row>43</xdr:row>
      <xdr:rowOff>5888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DF2499F9-3EBF-4FA0-A4E5-6832CB432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4920" y="11765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44</xdr:row>
      <xdr:rowOff>76200</xdr:rowOff>
    </xdr:from>
    <xdr:to>
      <xdr:col>10</xdr:col>
      <xdr:colOff>52647</xdr:colOff>
      <xdr:row>44</xdr:row>
      <xdr:rowOff>760268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85FAA551-92C9-4CD6-A24E-B148F73CF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3342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45</xdr:row>
      <xdr:rowOff>60960</xdr:rowOff>
    </xdr:from>
    <xdr:to>
      <xdr:col>10</xdr:col>
      <xdr:colOff>37407</xdr:colOff>
      <xdr:row>45</xdr:row>
      <xdr:rowOff>745028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DBE8E577-2EC2-4EEB-BA7D-58FA8B195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41503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48</xdr:row>
      <xdr:rowOff>68580</xdr:rowOff>
    </xdr:from>
    <xdr:to>
      <xdr:col>10</xdr:col>
      <xdr:colOff>6927</xdr:colOff>
      <xdr:row>48</xdr:row>
      <xdr:rowOff>752648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DB673876-D82A-4B75-8D8F-9FD9094E8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2842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50</xdr:row>
      <xdr:rowOff>45720</xdr:rowOff>
    </xdr:from>
    <xdr:to>
      <xdr:col>10</xdr:col>
      <xdr:colOff>37407</xdr:colOff>
      <xdr:row>50</xdr:row>
      <xdr:rowOff>729788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E1463817-6433-4178-B26B-ECB625CC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46820" y="44348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53</xdr:row>
      <xdr:rowOff>76200</xdr:rowOff>
    </xdr:from>
    <xdr:to>
      <xdr:col>10</xdr:col>
      <xdr:colOff>52647</xdr:colOff>
      <xdr:row>53</xdr:row>
      <xdr:rowOff>760268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72453C76-2BE2-43A0-B527-3C758C49B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67360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52</xdr:row>
      <xdr:rowOff>38100</xdr:rowOff>
    </xdr:from>
    <xdr:to>
      <xdr:col>10</xdr:col>
      <xdr:colOff>75507</xdr:colOff>
      <xdr:row>53</xdr:row>
      <xdr:rowOff>5888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AB77A6C3-B855-4888-8A1A-C8E07F22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4920" y="59817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144780</xdr:colOff>
      <xdr:row>51</xdr:row>
      <xdr:rowOff>30480</xdr:rowOff>
    </xdr:from>
    <xdr:to>
      <xdr:col>10</xdr:col>
      <xdr:colOff>90747</xdr:colOff>
      <xdr:row>51</xdr:row>
      <xdr:rowOff>714548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63DE229E-DBD1-41A8-9A30-54D1984C4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0160" y="52273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49</xdr:row>
      <xdr:rowOff>60960</xdr:rowOff>
    </xdr:from>
    <xdr:to>
      <xdr:col>10</xdr:col>
      <xdr:colOff>37407</xdr:colOff>
      <xdr:row>49</xdr:row>
      <xdr:rowOff>745028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C60C5EC3-CF31-472C-99A1-6068D748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46820" y="36423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56</xdr:row>
      <xdr:rowOff>68580</xdr:rowOff>
    </xdr:from>
    <xdr:to>
      <xdr:col>10</xdr:col>
      <xdr:colOff>6927</xdr:colOff>
      <xdr:row>56</xdr:row>
      <xdr:rowOff>752648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35D65A89-2618-46F9-97D2-98293AABF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384554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114300</xdr:colOff>
      <xdr:row>59</xdr:row>
      <xdr:rowOff>53340</xdr:rowOff>
    </xdr:from>
    <xdr:to>
      <xdr:col>10</xdr:col>
      <xdr:colOff>60267</xdr:colOff>
      <xdr:row>60</xdr:row>
      <xdr:rowOff>21128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3AEC6488-99CF-464B-A9A4-DF5ADA460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9680" y="170002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57</xdr:row>
      <xdr:rowOff>68580</xdr:rowOff>
    </xdr:from>
    <xdr:to>
      <xdr:col>10</xdr:col>
      <xdr:colOff>22167</xdr:colOff>
      <xdr:row>57</xdr:row>
      <xdr:rowOff>752648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D69BB8D6-16C3-4AE7-943A-717E53844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146532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58</xdr:row>
      <xdr:rowOff>30480</xdr:rowOff>
    </xdr:from>
    <xdr:to>
      <xdr:col>10</xdr:col>
      <xdr:colOff>37407</xdr:colOff>
      <xdr:row>58</xdr:row>
      <xdr:rowOff>714548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99CDCF3A-F5C4-4455-87EF-7D44138F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54228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129540</xdr:colOff>
      <xdr:row>60</xdr:row>
      <xdr:rowOff>83820</xdr:rowOff>
    </xdr:from>
    <xdr:to>
      <xdr:col>10</xdr:col>
      <xdr:colOff>75507</xdr:colOff>
      <xdr:row>60</xdr:row>
      <xdr:rowOff>767888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8F155FA5-EB16-49FC-AA58-E108F731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77300" y="377190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60960</xdr:colOff>
      <xdr:row>63</xdr:row>
      <xdr:rowOff>68580</xdr:rowOff>
    </xdr:from>
    <xdr:to>
      <xdr:col>10</xdr:col>
      <xdr:colOff>6927</xdr:colOff>
      <xdr:row>63</xdr:row>
      <xdr:rowOff>752648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5840CDE-1DE2-4A30-B886-421035692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6340" y="1405128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106680</xdr:colOff>
      <xdr:row>66</xdr:row>
      <xdr:rowOff>38100</xdr:rowOff>
    </xdr:from>
    <xdr:to>
      <xdr:col>10</xdr:col>
      <xdr:colOff>52647</xdr:colOff>
      <xdr:row>66</xdr:row>
      <xdr:rowOff>722168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44A2FCA9-1874-4E4B-B6F5-48177048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62060" y="1644396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76200</xdr:colOff>
      <xdr:row>64</xdr:row>
      <xdr:rowOff>68580</xdr:rowOff>
    </xdr:from>
    <xdr:to>
      <xdr:col>10</xdr:col>
      <xdr:colOff>22167</xdr:colOff>
      <xdr:row>64</xdr:row>
      <xdr:rowOff>752648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282F1887-74DD-41B4-A605-DE0E2A21E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1580" y="1485900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  <xdr:twoCellAnchor>
    <xdr:from>
      <xdr:col>4</xdr:col>
      <xdr:colOff>91440</xdr:colOff>
      <xdr:row>65</xdr:row>
      <xdr:rowOff>30480</xdr:rowOff>
    </xdr:from>
    <xdr:to>
      <xdr:col>10</xdr:col>
      <xdr:colOff>37407</xdr:colOff>
      <xdr:row>65</xdr:row>
      <xdr:rowOff>714548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68D6E99E-54F4-4E20-87B9-F271ABF02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6820" y="15628620"/>
          <a:ext cx="3359727" cy="684068"/>
        </a:xfrm>
        <a:prstGeom prst="rect">
          <a:avLst/>
        </a:prstGeom>
        <a:ln w="9525">
          <a:solidFill>
            <a:srgbClr val="E6E6E6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AB994"/>
  <sheetViews>
    <sheetView topLeftCell="A19" workbookViewId="0">
      <selection activeCell="H29" sqref="H29"/>
    </sheetView>
  </sheetViews>
  <sheetFormatPr defaultColWidth="14.44140625" defaultRowHeight="15" customHeight="1"/>
  <cols>
    <col min="1" max="1" width="10.88671875" customWidth="1"/>
    <col min="2" max="28" width="8.88671875" customWidth="1"/>
  </cols>
  <sheetData>
    <row r="1" spans="1:18" ht="12.75" customHeight="1"/>
    <row r="2" spans="1:18" ht="12.75" customHeight="1"/>
    <row r="3" spans="1:18" ht="12.75" customHeight="1"/>
    <row r="4" spans="1:18" ht="12.75" customHeight="1"/>
    <row r="5" spans="1:18" ht="12.75" customHeight="1"/>
    <row r="6" spans="1:18" ht="12.75" customHeight="1"/>
    <row r="7" spans="1:18" ht="12.75" customHeight="1"/>
    <row r="8" spans="1:18" ht="54" customHeight="1">
      <c r="A8" s="1">
        <v>1</v>
      </c>
      <c r="B8" s="65" t="s">
        <v>20</v>
      </c>
      <c r="C8" s="64"/>
      <c r="D8" s="64"/>
      <c r="E8" s="64"/>
      <c r="F8" s="64"/>
      <c r="G8" s="64"/>
      <c r="H8" s="64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customHeight="1">
      <c r="A9" s="1"/>
      <c r="B9" s="66" t="s">
        <v>0</v>
      </c>
      <c r="C9" s="64"/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>
      <c r="A10" s="3" t="s">
        <v>1</v>
      </c>
      <c r="B10" s="63" t="s">
        <v>21</v>
      </c>
      <c r="C10" s="64"/>
      <c r="D10" s="64"/>
      <c r="E10" s="64"/>
      <c r="F10" s="64"/>
      <c r="G10" s="64"/>
      <c r="H10" s="64"/>
      <c r="I10" s="64"/>
      <c r="J10" s="4"/>
      <c r="K10" s="4"/>
      <c r="L10" s="4"/>
      <c r="M10" s="4"/>
      <c r="N10" s="4"/>
      <c r="O10" s="4"/>
      <c r="P10" s="4"/>
      <c r="Q10" s="4"/>
      <c r="R10" s="4"/>
    </row>
    <row r="11" spans="1:18" ht="21" customHeight="1">
      <c r="A11" s="3" t="s">
        <v>2</v>
      </c>
      <c r="B11" s="63" t="s">
        <v>22</v>
      </c>
      <c r="C11" s="64"/>
      <c r="D11" s="64"/>
      <c r="E11" s="64"/>
      <c r="F11" s="64"/>
      <c r="G11" s="64"/>
      <c r="H11" s="64"/>
      <c r="I11" s="64"/>
      <c r="J11" s="4"/>
      <c r="K11" s="4"/>
      <c r="L11" s="4"/>
      <c r="M11" s="4"/>
      <c r="N11" s="4"/>
      <c r="O11" s="4"/>
      <c r="P11" s="4"/>
      <c r="Q11" s="4"/>
      <c r="R11" s="4"/>
    </row>
    <row r="12" spans="1:18" ht="21" customHeight="1">
      <c r="A12" s="3" t="s">
        <v>3</v>
      </c>
      <c r="B12" s="63" t="s">
        <v>23</v>
      </c>
      <c r="C12" s="64"/>
      <c r="D12" s="64"/>
      <c r="E12" s="64"/>
      <c r="F12" s="64"/>
      <c r="G12" s="64"/>
      <c r="H12" s="64"/>
      <c r="I12" s="64"/>
      <c r="J12" s="4"/>
      <c r="K12" s="4"/>
      <c r="L12" s="4"/>
      <c r="M12" s="4"/>
      <c r="N12" s="4"/>
      <c r="O12" s="4"/>
      <c r="P12" s="4"/>
      <c r="Q12" s="4"/>
      <c r="R12" s="4"/>
    </row>
    <row r="13" spans="1:18" ht="21" customHeight="1">
      <c r="A13" s="3" t="s">
        <v>25</v>
      </c>
      <c r="B13" s="63" t="s">
        <v>24</v>
      </c>
      <c r="C13" s="64"/>
      <c r="D13" s="64"/>
      <c r="E13" s="64"/>
      <c r="F13" s="64"/>
      <c r="G13" s="64"/>
      <c r="H13" s="64"/>
      <c r="I13" s="64"/>
    </row>
    <row r="14" spans="1:18" ht="21" customHeight="1">
      <c r="A14" s="3" t="s">
        <v>7</v>
      </c>
      <c r="B14" s="63" t="s">
        <v>26</v>
      </c>
      <c r="C14" s="64"/>
      <c r="D14" s="64"/>
      <c r="E14" s="64"/>
      <c r="F14" s="64"/>
      <c r="G14" s="64"/>
      <c r="H14" s="64"/>
      <c r="I14" s="64"/>
    </row>
    <row r="15" spans="1:18" ht="21" customHeight="1">
      <c r="A15" s="3" t="s">
        <v>4</v>
      </c>
      <c r="B15" s="63" t="s">
        <v>27</v>
      </c>
      <c r="C15" s="64"/>
      <c r="D15" s="64"/>
      <c r="E15" s="64"/>
      <c r="F15" s="64"/>
      <c r="G15" s="64"/>
      <c r="H15" s="64"/>
      <c r="I15" s="64"/>
    </row>
    <row r="16" spans="1:18" ht="21.75" customHeight="1">
      <c r="A16" s="3" t="s">
        <v>5</v>
      </c>
      <c r="B16" s="63" t="s">
        <v>28</v>
      </c>
      <c r="C16" s="64"/>
      <c r="D16" s="64"/>
      <c r="E16" s="64"/>
      <c r="F16" s="64"/>
      <c r="G16" s="64"/>
      <c r="H16" s="64"/>
      <c r="I16" s="64"/>
      <c r="J16" s="4"/>
      <c r="K16" s="4"/>
      <c r="L16" s="4"/>
      <c r="M16" s="4"/>
      <c r="N16" s="4"/>
      <c r="O16" s="4"/>
      <c r="P16" s="4"/>
      <c r="Q16" s="4"/>
      <c r="R16" s="4"/>
    </row>
    <row r="17" spans="1:28" ht="21" customHeight="1">
      <c r="A17" s="3" t="s">
        <v>6</v>
      </c>
      <c r="B17" s="63" t="s">
        <v>31</v>
      </c>
      <c r="C17" s="64"/>
      <c r="D17" s="64"/>
      <c r="E17" s="64"/>
      <c r="F17" s="64"/>
      <c r="G17" s="64"/>
      <c r="H17" s="64"/>
      <c r="I17" s="64"/>
    </row>
    <row r="18" spans="1:28" ht="21" customHeight="1">
      <c r="A18" s="3" t="s">
        <v>8</v>
      </c>
      <c r="B18" s="5" t="s">
        <v>19</v>
      </c>
    </row>
    <row r="19" spans="1:28" ht="21" customHeight="1">
      <c r="A19" s="1">
        <v>2</v>
      </c>
      <c r="B19" s="65" t="s">
        <v>10</v>
      </c>
      <c r="C19" s="64"/>
      <c r="D19" s="64"/>
      <c r="E19" s="64"/>
      <c r="F19" s="64"/>
      <c r="G19" s="64"/>
      <c r="H19" s="64"/>
      <c r="I19" s="4"/>
    </row>
    <row r="20" spans="1:28" ht="21" customHeight="1">
      <c r="A20" s="3" t="s">
        <v>34</v>
      </c>
      <c r="B20" s="63" t="s">
        <v>30</v>
      </c>
      <c r="C20" s="64"/>
      <c r="D20" s="64"/>
      <c r="E20" s="64"/>
      <c r="F20" s="64"/>
      <c r="G20" s="64"/>
      <c r="H20" s="64"/>
      <c r="I20" s="64"/>
    </row>
    <row r="21" spans="1:28" ht="21" customHeight="1">
      <c r="A21" s="1">
        <v>3</v>
      </c>
      <c r="B21" s="65" t="s">
        <v>29</v>
      </c>
      <c r="C21" s="64"/>
      <c r="D21" s="64"/>
      <c r="E21" s="64"/>
      <c r="F21" s="64"/>
      <c r="G21" s="64"/>
      <c r="H21" s="64"/>
      <c r="I21" s="2"/>
    </row>
    <row r="22" spans="1:28" ht="21" customHeight="1">
      <c r="A22" s="3" t="s">
        <v>37</v>
      </c>
      <c r="B22" s="63" t="s">
        <v>9</v>
      </c>
      <c r="C22" s="64"/>
      <c r="D22" s="64"/>
      <c r="E22" s="64"/>
      <c r="F22" s="64"/>
      <c r="G22" s="64"/>
      <c r="H22" s="64"/>
      <c r="I22" s="64"/>
    </row>
    <row r="23" spans="1:28" ht="21" customHeight="1">
      <c r="A23" s="3" t="s">
        <v>38</v>
      </c>
      <c r="B23" s="5" t="s">
        <v>33</v>
      </c>
    </row>
    <row r="24" spans="1:28" ht="21" customHeight="1">
      <c r="A24" s="3" t="s">
        <v>39</v>
      </c>
      <c r="B24" s="5" t="s">
        <v>36</v>
      </c>
    </row>
    <row r="25" spans="1:28" ht="21" customHeight="1">
      <c r="A25" s="3" t="s">
        <v>40</v>
      </c>
      <c r="B25" s="63" t="s">
        <v>35</v>
      </c>
      <c r="C25" s="64"/>
      <c r="D25" s="64"/>
      <c r="E25" s="64"/>
      <c r="F25" s="64"/>
      <c r="G25" s="64"/>
      <c r="H25" s="64"/>
      <c r="I25" s="64"/>
    </row>
    <row r="26" spans="1:28" ht="21" customHeight="1">
      <c r="A26" s="3" t="s">
        <v>41</v>
      </c>
      <c r="B26" s="63" t="s">
        <v>32</v>
      </c>
      <c r="C26" s="64"/>
      <c r="D26" s="64"/>
      <c r="E26" s="64"/>
      <c r="F26" s="64"/>
      <c r="G26" s="64"/>
      <c r="H26" s="64"/>
      <c r="I26" s="64"/>
    </row>
    <row r="27" spans="1:28" ht="21" customHeight="1"/>
    <row r="28" spans="1:28" ht="21" customHeight="1">
      <c r="A28" s="57" t="s">
        <v>11</v>
      </c>
      <c r="B28" s="58"/>
      <c r="C28" s="58"/>
      <c r="D28" s="58"/>
      <c r="E28" s="58"/>
      <c r="F28" s="59"/>
      <c r="G28" s="7" t="s">
        <v>42</v>
      </c>
      <c r="H28" s="13" t="s">
        <v>43</v>
      </c>
    </row>
    <row r="29" spans="1:28" ht="18" customHeight="1">
      <c r="A29" s="60"/>
      <c r="B29" s="61"/>
      <c r="C29" s="61"/>
      <c r="D29" s="61"/>
      <c r="E29" s="61"/>
      <c r="F29" s="62"/>
      <c r="G29" s="7">
        <v>1</v>
      </c>
      <c r="H29" s="7">
        <v>555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2.75" customHeight="1"/>
    <row r="31" spans="1:28" ht="12.75" customHeight="1"/>
    <row r="32" spans="1:28" ht="17.399999999999999" customHeight="1">
      <c r="A32" s="50" t="s">
        <v>596</v>
      </c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mergeCells count="17">
    <mergeCell ref="B8:H8"/>
    <mergeCell ref="B9:H9"/>
    <mergeCell ref="B10:I10"/>
    <mergeCell ref="B11:I11"/>
    <mergeCell ref="A28:F29"/>
    <mergeCell ref="B17:I17"/>
    <mergeCell ref="B21:H21"/>
    <mergeCell ref="B12:I12"/>
    <mergeCell ref="B13:I13"/>
    <mergeCell ref="B14:I14"/>
    <mergeCell ref="B15:I15"/>
    <mergeCell ref="B16:I16"/>
    <mergeCell ref="B22:I22"/>
    <mergeCell ref="B25:I25"/>
    <mergeCell ref="B26:I26"/>
    <mergeCell ref="B19:H19"/>
    <mergeCell ref="B20:I20"/>
  </mergeCells>
  <phoneticPr fontId="16" type="noConversion"/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6AEC-635E-4D34-9CDF-5384CFDD4536}">
  <sheetPr>
    <tabColor theme="6" tint="-0.249977111117893"/>
  </sheetPr>
  <dimension ref="A1:D981"/>
  <sheetViews>
    <sheetView workbookViewId="0">
      <selection activeCell="G1" sqref="G1:G1048576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24" customHeight="1" thickBot="1">
      <c r="A1" s="82" t="s">
        <v>274</v>
      </c>
      <c r="B1" s="71"/>
      <c r="C1" s="71"/>
      <c r="D1" s="72"/>
    </row>
    <row r="2" spans="1:4" ht="24" customHeight="1" thickBot="1">
      <c r="A2" s="17" t="s">
        <v>428</v>
      </c>
      <c r="B2" s="85" t="s">
        <v>214</v>
      </c>
      <c r="C2" s="86"/>
      <c r="D2" s="21">
        <f>884*Оглавление!H29</f>
        <v>490620</v>
      </c>
    </row>
    <row r="3" spans="1:4" ht="16.5" customHeight="1" thickBot="1">
      <c r="A3" s="77" t="s">
        <v>344</v>
      </c>
      <c r="B3" s="71"/>
      <c r="C3" s="71"/>
      <c r="D3" s="72"/>
    </row>
    <row r="4" spans="1:4" ht="20.25" customHeight="1" thickBot="1">
      <c r="A4" s="17" t="s">
        <v>543</v>
      </c>
      <c r="B4" s="85" t="s">
        <v>345</v>
      </c>
      <c r="C4" s="86"/>
      <c r="D4" s="21">
        <f>994*Оглавление!H29</f>
        <v>551670</v>
      </c>
    </row>
    <row r="5" spans="1:4" ht="12.75" customHeight="1" thickBot="1">
      <c r="A5" s="82" t="s">
        <v>266</v>
      </c>
      <c r="B5" s="71"/>
      <c r="C5" s="71"/>
      <c r="D5" s="72"/>
    </row>
    <row r="6" spans="1:4" ht="12.75" customHeight="1">
      <c r="A6" s="17" t="s">
        <v>542</v>
      </c>
      <c r="B6" s="85" t="s">
        <v>272</v>
      </c>
      <c r="C6" s="86"/>
      <c r="D6" s="21">
        <f>1459.5*Оглавление!H29</f>
        <v>810022.5</v>
      </c>
    </row>
    <row r="7" spans="1:4" ht="12.75" customHeight="1"/>
    <row r="8" spans="1:4" ht="12.75" customHeight="1"/>
    <row r="9" spans="1:4" ht="12.75" customHeight="1"/>
    <row r="10" spans="1:4" ht="12.75" customHeight="1"/>
    <row r="11" spans="1:4" ht="12.75" customHeight="1"/>
    <row r="12" spans="1:4" ht="12.75" customHeight="1"/>
    <row r="13" spans="1:4" ht="12.75" customHeight="1"/>
    <row r="14" spans="1:4" ht="12.75" customHeight="1"/>
    <row r="15" spans="1:4" ht="12.75" customHeight="1"/>
    <row r="16" spans="1: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</sheetData>
  <mergeCells count="6">
    <mergeCell ref="A1:D1"/>
    <mergeCell ref="B2:C2"/>
    <mergeCell ref="A5:D5"/>
    <mergeCell ref="B6:C6"/>
    <mergeCell ref="A3:D3"/>
    <mergeCell ref="B4:C4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C8671-AF1C-4B4F-B03F-5EE21208C2DD}">
  <sheetPr>
    <tabColor rgb="FFFF0000"/>
  </sheetPr>
  <dimension ref="A1:D977"/>
  <sheetViews>
    <sheetView workbookViewId="0">
      <selection activeCell="D19" sqref="D19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>
      <c r="A1" s="67"/>
      <c r="B1" s="64"/>
      <c r="C1" s="64"/>
      <c r="D1" s="64"/>
    </row>
    <row r="2" spans="1:4" ht="20.25" customHeight="1" thickBot="1">
      <c r="A2" s="19" t="s">
        <v>12</v>
      </c>
      <c r="B2" s="68" t="s">
        <v>13</v>
      </c>
      <c r="C2" s="69"/>
      <c r="D2" s="20" t="s">
        <v>45</v>
      </c>
    </row>
    <row r="3" spans="1:4" ht="24" customHeight="1" thickBot="1">
      <c r="A3" s="82" t="s">
        <v>275</v>
      </c>
      <c r="B3" s="71"/>
      <c r="C3" s="71"/>
      <c r="D3" s="72"/>
    </row>
    <row r="4" spans="1:4" ht="24" customHeight="1">
      <c r="A4" s="17" t="s">
        <v>544</v>
      </c>
      <c r="B4" s="85" t="s">
        <v>279</v>
      </c>
      <c r="C4" s="86"/>
      <c r="D4" s="21">
        <f>271.56*Оглавление!H29</f>
        <v>150715.79999999999</v>
      </c>
    </row>
    <row r="5" spans="1:4" ht="12.75" customHeight="1">
      <c r="A5" s="17" t="s">
        <v>545</v>
      </c>
      <c r="B5" s="85" t="s">
        <v>276</v>
      </c>
      <c r="C5" s="86"/>
      <c r="D5" s="21">
        <f>923.49*Оглавление!H29</f>
        <v>512536.95</v>
      </c>
    </row>
    <row r="6" spans="1:4" ht="12.75" customHeight="1">
      <c r="A6" s="17" t="s">
        <v>546</v>
      </c>
      <c r="B6" s="85" t="s">
        <v>277</v>
      </c>
      <c r="C6" s="86"/>
      <c r="D6" s="21">
        <f>1899.99*Оглавление!H29</f>
        <v>1054494.45</v>
      </c>
    </row>
    <row r="7" spans="1:4" ht="12.75" customHeight="1">
      <c r="A7" s="17" t="s">
        <v>547</v>
      </c>
      <c r="B7" s="85" t="s">
        <v>278</v>
      </c>
      <c r="C7" s="86"/>
      <c r="D7" s="21">
        <f>3096.9*Оглавление!H29</f>
        <v>1718779.5</v>
      </c>
    </row>
    <row r="8" spans="1:4" ht="12.75" customHeight="1" thickBot="1"/>
    <row r="9" spans="1:4" ht="12.75" customHeight="1" thickBot="1">
      <c r="A9" s="82" t="s">
        <v>280</v>
      </c>
      <c r="B9" s="71"/>
      <c r="C9" s="71"/>
      <c r="D9" s="72"/>
    </row>
    <row r="10" spans="1:4" ht="12.75" customHeight="1">
      <c r="A10" s="17" t="s">
        <v>548</v>
      </c>
      <c r="B10" s="85" t="s">
        <v>281</v>
      </c>
      <c r="C10" s="86"/>
      <c r="D10" s="21">
        <f>651.93*Оглавление!H29</f>
        <v>361821.14999999997</v>
      </c>
    </row>
    <row r="11" spans="1:4" ht="12.75" customHeight="1">
      <c r="A11" s="17" t="s">
        <v>549</v>
      </c>
      <c r="B11" s="85" t="s">
        <v>282</v>
      </c>
      <c r="C11" s="86"/>
      <c r="D11" s="21">
        <f>1628.43*Оглавление!H29</f>
        <v>903778.65</v>
      </c>
    </row>
    <row r="12" spans="1:4" ht="12.75" customHeight="1">
      <c r="A12" s="17" t="s">
        <v>550</v>
      </c>
      <c r="B12" s="85" t="s">
        <v>283</v>
      </c>
      <c r="C12" s="86"/>
      <c r="D12" s="21">
        <f>2822.55*Оглавление!H29</f>
        <v>1566515.25</v>
      </c>
    </row>
    <row r="13" spans="1:4" ht="12.75" customHeight="1">
      <c r="A13" s="17" t="s">
        <v>551</v>
      </c>
      <c r="B13" s="85" t="s">
        <v>284</v>
      </c>
      <c r="C13" s="86"/>
      <c r="D13" s="21">
        <f>976.5*Оглавление!H29</f>
        <v>541957.5</v>
      </c>
    </row>
    <row r="14" spans="1:4" ht="12.75" customHeight="1">
      <c r="A14" s="17" t="s">
        <v>552</v>
      </c>
      <c r="B14" s="85" t="s">
        <v>285</v>
      </c>
      <c r="C14" s="86"/>
      <c r="D14" s="21">
        <f>2170.62*Оглавление!H29</f>
        <v>1204694.0999999999</v>
      </c>
    </row>
    <row r="15" spans="1:4" ht="12.75" customHeight="1">
      <c r="A15" s="17" t="s">
        <v>553</v>
      </c>
      <c r="B15" s="85" t="s">
        <v>286</v>
      </c>
      <c r="C15" s="86"/>
      <c r="D15" s="21">
        <f>1195.05*Оглавление!H29</f>
        <v>663252.75</v>
      </c>
    </row>
    <row r="16" spans="1:4" ht="12.75" customHeight="1">
      <c r="A16" s="17" t="s">
        <v>554</v>
      </c>
      <c r="B16" s="85" t="s">
        <v>287</v>
      </c>
      <c r="C16" s="86"/>
      <c r="D16" s="21">
        <f>709.59*Оглавление!H29</f>
        <v>393822.45</v>
      </c>
    </row>
    <row r="17" spans="1:4" ht="12.75" customHeight="1"/>
    <row r="18" spans="1:4" ht="16.2" customHeight="1">
      <c r="A18" s="17" t="s">
        <v>576</v>
      </c>
      <c r="B18" s="83" t="s">
        <v>287</v>
      </c>
      <c r="C18" s="101"/>
      <c r="D18" s="21">
        <f>709.59*Оглавление!H29</f>
        <v>393822.45</v>
      </c>
    </row>
    <row r="19" spans="1:4" ht="12.75" customHeight="1"/>
    <row r="20" spans="1:4" ht="12.75" customHeight="1"/>
    <row r="21" spans="1:4" ht="12.75" customHeight="1"/>
    <row r="22" spans="1:4" ht="12.75" customHeight="1"/>
    <row r="23" spans="1:4" ht="12.75" customHeight="1"/>
    <row r="24" spans="1:4" ht="12.75" customHeight="1"/>
    <row r="25" spans="1:4" ht="12.75" customHeight="1"/>
    <row r="26" spans="1:4" ht="12.75" customHeight="1"/>
    <row r="27" spans="1:4" ht="12.75" customHeight="1"/>
    <row r="28" spans="1:4" ht="12.75" customHeight="1"/>
    <row r="29" spans="1:4" ht="12.75" customHeight="1"/>
    <row r="30" spans="1:4" ht="12.75" customHeight="1"/>
    <row r="31" spans="1:4" ht="12.75" customHeight="1"/>
    <row r="32" spans="1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</sheetData>
  <mergeCells count="16">
    <mergeCell ref="B18:C18"/>
    <mergeCell ref="A1:D1"/>
    <mergeCell ref="B2:C2"/>
    <mergeCell ref="B5:C5"/>
    <mergeCell ref="B6:C6"/>
    <mergeCell ref="B7:C7"/>
    <mergeCell ref="A9:D9"/>
    <mergeCell ref="A3:D3"/>
    <mergeCell ref="B4:C4"/>
    <mergeCell ref="B16:C16"/>
    <mergeCell ref="B10:C10"/>
    <mergeCell ref="B11:C11"/>
    <mergeCell ref="B12:C12"/>
    <mergeCell ref="B13:C13"/>
    <mergeCell ref="B14:C14"/>
    <mergeCell ref="B15:C15"/>
  </mergeCells>
  <phoneticPr fontId="16" type="noConversion"/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11746-0A1E-4486-9B5F-9D7D3FF9E4F2}">
  <sheetPr>
    <tabColor theme="7" tint="-0.249977111117893"/>
  </sheetPr>
  <dimension ref="A1:Z958"/>
  <sheetViews>
    <sheetView topLeftCell="A22" workbookViewId="0">
      <selection activeCell="K61" sqref="K57:K61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26" ht="12.75" customHeight="1"/>
    <row r="2" spans="1:26" ht="12.75" customHeight="1" thickBot="1"/>
    <row r="3" spans="1:26" ht="16.5" customHeight="1" thickBot="1">
      <c r="A3" s="77" t="s">
        <v>288</v>
      </c>
      <c r="B3" s="71"/>
      <c r="C3" s="71"/>
      <c r="D3" s="72"/>
    </row>
    <row r="4" spans="1:26" ht="63.6" customHeight="1">
      <c r="A4" s="16" t="s">
        <v>51</v>
      </c>
      <c r="B4" s="10" t="s">
        <v>58</v>
      </c>
      <c r="C4" s="22" t="s">
        <v>61</v>
      </c>
      <c r="D4" s="21">
        <f>101.37*Оглавление!H29</f>
        <v>56260.350000000006</v>
      </c>
      <c r="E4" s="9"/>
      <c r="F4" s="9"/>
      <c r="G4" s="9"/>
      <c r="H4" s="9"/>
      <c r="I4" s="9"/>
      <c r="J4" s="9"/>
      <c r="K4" s="46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64.2" customHeight="1">
      <c r="A5" s="17" t="s">
        <v>52</v>
      </c>
      <c r="B5" s="8" t="s">
        <v>59</v>
      </c>
      <c r="C5" s="22" t="s">
        <v>63</v>
      </c>
      <c r="D5" s="21">
        <f>112.53*Оглавление!H29</f>
        <v>62454.15</v>
      </c>
      <c r="E5" s="11"/>
      <c r="K5" s="45"/>
    </row>
    <row r="6" spans="1:26" ht="36.6" customHeight="1">
      <c r="A6" s="17" t="s">
        <v>53</v>
      </c>
      <c r="B6" s="8" t="s">
        <v>58</v>
      </c>
      <c r="C6" s="22" t="s">
        <v>64</v>
      </c>
      <c r="D6" s="21">
        <f>94.86*Оглавление!H29</f>
        <v>52647.3</v>
      </c>
      <c r="K6" s="45"/>
    </row>
    <row r="7" spans="1:26" ht="36.6" customHeight="1">
      <c r="A7" s="17" t="s">
        <v>54</v>
      </c>
      <c r="B7" s="8" t="s">
        <v>60</v>
      </c>
      <c r="C7" s="22" t="s">
        <v>65</v>
      </c>
      <c r="D7" s="21">
        <f>93.93*Оглавление!H29</f>
        <v>52131.15</v>
      </c>
      <c r="K7" s="45"/>
    </row>
    <row r="8" spans="1:26" ht="24.75" customHeight="1">
      <c r="A8" s="17" t="s">
        <v>55</v>
      </c>
      <c r="B8" s="8" t="s">
        <v>60</v>
      </c>
      <c r="C8" s="22" t="s">
        <v>66</v>
      </c>
      <c r="D8" s="21">
        <f>83.7*Оглавление!H29</f>
        <v>46453.5</v>
      </c>
      <c r="K8" s="45"/>
    </row>
    <row r="9" spans="1:26" ht="19.95" customHeight="1">
      <c r="A9" s="17" t="s">
        <v>56</v>
      </c>
      <c r="B9" s="8" t="s">
        <v>73</v>
      </c>
      <c r="C9" s="22" t="s">
        <v>62</v>
      </c>
      <c r="D9" s="21">
        <f>342.5*Оглавление!H29</f>
        <v>190087.5</v>
      </c>
      <c r="K9" s="45"/>
    </row>
    <row r="10" spans="1:26" ht="58.95" customHeight="1">
      <c r="A10" s="17" t="s">
        <v>67</v>
      </c>
      <c r="B10" s="8" t="s">
        <v>70</v>
      </c>
      <c r="C10" s="22" t="s">
        <v>74</v>
      </c>
      <c r="D10" s="21">
        <f>61*Оглавление!H29</f>
        <v>33855</v>
      </c>
      <c r="K10" s="45"/>
    </row>
    <row r="11" spans="1:26" ht="56.4" customHeight="1">
      <c r="A11" s="17" t="s">
        <v>69</v>
      </c>
      <c r="B11" s="8" t="s">
        <v>71</v>
      </c>
      <c r="C11" s="23" t="s">
        <v>75</v>
      </c>
      <c r="D11" s="21">
        <f>35.25*Оглавление!H29</f>
        <v>19563.75</v>
      </c>
      <c r="K11" s="45"/>
    </row>
    <row r="12" spans="1:26" ht="64.95" customHeight="1">
      <c r="A12" s="12" t="s">
        <v>68</v>
      </c>
      <c r="B12" s="8" t="s">
        <v>72</v>
      </c>
      <c r="C12" s="23" t="s">
        <v>76</v>
      </c>
      <c r="D12" s="21">
        <f>65*Оглавление!H29</f>
        <v>36075</v>
      </c>
      <c r="K12" s="45"/>
    </row>
    <row r="13" spans="1:26" ht="62.4" customHeight="1">
      <c r="A13" s="17" t="s">
        <v>77</v>
      </c>
      <c r="B13" s="8" t="s">
        <v>80</v>
      </c>
      <c r="C13" s="22" t="s">
        <v>82</v>
      </c>
      <c r="D13" s="21">
        <f>67*Оглавление!H29</f>
        <v>37185</v>
      </c>
      <c r="K13" s="45"/>
    </row>
    <row r="14" spans="1:26" ht="64.2" customHeight="1">
      <c r="A14" s="17" t="s">
        <v>78</v>
      </c>
      <c r="B14" s="8" t="s">
        <v>79</v>
      </c>
      <c r="C14" s="23" t="s">
        <v>84</v>
      </c>
      <c r="D14" s="21">
        <f>145*Оглавление!H29</f>
        <v>80475</v>
      </c>
      <c r="K14" s="45"/>
    </row>
    <row r="15" spans="1:26" ht="57.6" customHeight="1">
      <c r="A15" s="17" t="s">
        <v>348</v>
      </c>
      <c r="B15" s="8" t="s">
        <v>81</v>
      </c>
      <c r="C15" s="23" t="s">
        <v>83</v>
      </c>
      <c r="D15" s="21">
        <f>27.25*Оглавление!H29</f>
        <v>15123.75</v>
      </c>
      <c r="K15" s="45"/>
    </row>
    <row r="16" spans="1:26" ht="12.75" customHeight="1" thickBot="1"/>
    <row r="17" spans="1:26" ht="16.5" customHeight="1" thickBot="1">
      <c r="A17" s="77" t="s">
        <v>591</v>
      </c>
      <c r="B17" s="71"/>
      <c r="C17" s="71"/>
      <c r="D17" s="72"/>
    </row>
    <row r="18" spans="1:26" ht="63.6" customHeight="1">
      <c r="A18" s="16" t="s">
        <v>349</v>
      </c>
      <c r="B18" s="10" t="s">
        <v>17</v>
      </c>
      <c r="C18" s="22" t="s">
        <v>109</v>
      </c>
      <c r="D18" s="21">
        <f>185*Оглавление!H29</f>
        <v>102675</v>
      </c>
      <c r="E18" s="9"/>
      <c r="F18" s="9"/>
      <c r="G18" s="9"/>
      <c r="H18" s="9"/>
      <c r="I18" s="9"/>
      <c r="J18" s="9"/>
      <c r="K18" s="46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64.2" customHeight="1">
      <c r="A19" s="17" t="s">
        <v>111</v>
      </c>
      <c r="B19" s="8" t="s">
        <v>112</v>
      </c>
      <c r="C19" s="22" t="s">
        <v>113</v>
      </c>
      <c r="D19" s="21">
        <f>250*Оглавление!H29</f>
        <v>138750</v>
      </c>
      <c r="E19" s="11"/>
      <c r="K19" s="45"/>
    </row>
    <row r="20" spans="1:26" ht="36.6" customHeight="1">
      <c r="A20" s="17" t="s">
        <v>114</v>
      </c>
      <c r="B20" s="8" t="s">
        <v>16</v>
      </c>
      <c r="C20" s="22" t="s">
        <v>115</v>
      </c>
      <c r="D20" s="21">
        <f>263*Оглавление!H29</f>
        <v>145965</v>
      </c>
      <c r="K20" s="45"/>
    </row>
    <row r="21" spans="1:26" ht="49.95" customHeight="1">
      <c r="A21" s="17" t="s">
        <v>116</v>
      </c>
      <c r="B21" s="8" t="s">
        <v>118</v>
      </c>
      <c r="C21" s="22" t="s">
        <v>120</v>
      </c>
      <c r="D21" s="21">
        <f>55*Оглавление!H29</f>
        <v>30525</v>
      </c>
      <c r="K21" s="45"/>
    </row>
    <row r="22" spans="1:26" ht="27.6" customHeight="1">
      <c r="A22" s="17" t="s">
        <v>117</v>
      </c>
      <c r="B22" s="8" t="s">
        <v>119</v>
      </c>
      <c r="C22" s="22" t="s">
        <v>121</v>
      </c>
      <c r="D22" s="21">
        <f>102*Оглавление!H29</f>
        <v>56610</v>
      </c>
      <c r="K22" s="45"/>
    </row>
    <row r="23" spans="1:26" ht="12.75" customHeight="1" thickBot="1"/>
    <row r="24" spans="1:26" ht="16.5" customHeight="1" thickBot="1">
      <c r="A24" s="77" t="s">
        <v>289</v>
      </c>
      <c r="B24" s="71"/>
      <c r="C24" s="71"/>
      <c r="D24" s="72"/>
    </row>
    <row r="25" spans="1:26" ht="63.6" customHeight="1">
      <c r="A25" s="16" t="s">
        <v>51</v>
      </c>
      <c r="B25" s="10" t="s">
        <v>58</v>
      </c>
      <c r="C25" s="22" t="s">
        <v>61</v>
      </c>
      <c r="D25" s="21">
        <f>101.37*Оглавление!H29</f>
        <v>56260.350000000006</v>
      </c>
      <c r="E25" s="9"/>
      <c r="F25" s="9"/>
      <c r="G25" s="9"/>
      <c r="H25" s="9"/>
      <c r="I25" s="9"/>
      <c r="J25" s="9"/>
      <c r="K25" s="4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63.6" customHeight="1">
      <c r="A26" s="17" t="s">
        <v>56</v>
      </c>
      <c r="B26" s="8" t="s">
        <v>73</v>
      </c>
      <c r="C26" s="22" t="s">
        <v>62</v>
      </c>
      <c r="D26" s="21">
        <f>34.25*Оглавление!H29</f>
        <v>19008.75</v>
      </c>
      <c r="E26" s="9"/>
      <c r="F26" s="9"/>
      <c r="G26" s="9"/>
      <c r="H26" s="9"/>
      <c r="I26" s="9"/>
      <c r="J26" s="9"/>
      <c r="K26" s="46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63.6" customHeight="1">
      <c r="A27" s="17" t="s">
        <v>140</v>
      </c>
      <c r="B27" s="8" t="s">
        <v>141</v>
      </c>
      <c r="C27" s="23" t="s">
        <v>142</v>
      </c>
      <c r="D27" s="21">
        <f>121*Оглавление!H29</f>
        <v>67155</v>
      </c>
      <c r="E27" s="9"/>
      <c r="F27" s="9"/>
      <c r="G27" s="9"/>
      <c r="H27" s="9"/>
      <c r="I27" s="9"/>
      <c r="J27" s="9"/>
      <c r="K27" s="4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58.95" customHeight="1">
      <c r="A28" s="17" t="s">
        <v>67</v>
      </c>
      <c r="B28" s="8" t="s">
        <v>70</v>
      </c>
      <c r="C28" s="22" t="s">
        <v>74</v>
      </c>
      <c r="D28" s="21">
        <f>61*Оглавление!H29</f>
        <v>33855</v>
      </c>
      <c r="K28" s="45"/>
    </row>
    <row r="29" spans="1:26" ht="56.4" customHeight="1">
      <c r="A29" s="17" t="s">
        <v>69</v>
      </c>
      <c r="B29" s="8" t="s">
        <v>71</v>
      </c>
      <c r="C29" s="23" t="s">
        <v>75</v>
      </c>
      <c r="D29" s="21">
        <f>35.25*Оглавление!H29</f>
        <v>19563.75</v>
      </c>
      <c r="K29" s="45"/>
    </row>
    <row r="30" spans="1:26" ht="64.95" customHeight="1">
      <c r="A30" s="12" t="s">
        <v>68</v>
      </c>
      <c r="B30" s="8" t="s">
        <v>72</v>
      </c>
      <c r="C30" s="23" t="s">
        <v>76</v>
      </c>
      <c r="D30" s="21">
        <f>65*Оглавление!H29</f>
        <v>36075</v>
      </c>
      <c r="K30" s="45"/>
    </row>
    <row r="31" spans="1:26" ht="64.95" customHeight="1">
      <c r="A31" s="12">
        <v>45109</v>
      </c>
      <c r="B31" s="8" t="s">
        <v>143</v>
      </c>
      <c r="C31" s="23" t="s">
        <v>145</v>
      </c>
      <c r="D31" s="21">
        <f>130*Оглавление!H29</f>
        <v>72150</v>
      </c>
      <c r="K31" s="45"/>
    </row>
    <row r="32" spans="1:26" ht="64.95" customHeight="1">
      <c r="A32" s="12">
        <v>45110</v>
      </c>
      <c r="B32" s="8" t="s">
        <v>144</v>
      </c>
      <c r="C32" s="23" t="s">
        <v>146</v>
      </c>
      <c r="D32" s="21">
        <f>127*Оглавление!H29</f>
        <v>70485</v>
      </c>
      <c r="K32" s="45"/>
    </row>
    <row r="33" spans="1:26" ht="64.95" customHeight="1">
      <c r="A33" s="12">
        <v>45114</v>
      </c>
      <c r="B33" s="8" t="s">
        <v>147</v>
      </c>
      <c r="C33" s="23" t="s">
        <v>148</v>
      </c>
      <c r="D33" s="21">
        <f>112*Оглавление!H29</f>
        <v>62160</v>
      </c>
      <c r="K33" s="45"/>
    </row>
    <row r="34" spans="1:26" ht="62.4" customHeight="1">
      <c r="A34" s="17" t="s">
        <v>77</v>
      </c>
      <c r="B34" s="8" t="s">
        <v>80</v>
      </c>
      <c r="C34" s="22" t="s">
        <v>82</v>
      </c>
      <c r="D34" s="21">
        <f>675*Оглавление!H29</f>
        <v>374625</v>
      </c>
      <c r="K34" s="45"/>
    </row>
    <row r="35" spans="1:26" ht="64.2" customHeight="1">
      <c r="A35" s="17" t="s">
        <v>423</v>
      </c>
      <c r="B35" s="8" t="s">
        <v>79</v>
      </c>
      <c r="C35" s="23" t="s">
        <v>84</v>
      </c>
      <c r="D35" s="21">
        <f>145*Оглавление!H29</f>
        <v>80475</v>
      </c>
      <c r="K35" s="45"/>
    </row>
    <row r="36" spans="1:26" ht="57.6" customHeight="1">
      <c r="A36" s="17" t="s">
        <v>555</v>
      </c>
      <c r="B36" s="8" t="s">
        <v>81</v>
      </c>
      <c r="C36" s="23" t="s">
        <v>83</v>
      </c>
      <c r="D36" s="21">
        <f>27.25*Оглавление!H29</f>
        <v>15123.75</v>
      </c>
      <c r="K36" s="45"/>
    </row>
    <row r="37" spans="1:26" ht="12.75" customHeight="1" thickBot="1"/>
    <row r="38" spans="1:26" ht="16.5" customHeight="1" thickBot="1">
      <c r="A38" s="77" t="s">
        <v>290</v>
      </c>
      <c r="B38" s="71"/>
      <c r="C38" s="71"/>
      <c r="D38" s="72"/>
    </row>
    <row r="39" spans="1:26" ht="63.6" customHeight="1">
      <c r="A39" s="16" t="s">
        <v>556</v>
      </c>
      <c r="B39" s="10" t="s">
        <v>17</v>
      </c>
      <c r="C39" s="22" t="s">
        <v>178</v>
      </c>
      <c r="D39" s="21">
        <f>204*Оглавление!H29</f>
        <v>113220</v>
      </c>
      <c r="E39" s="9"/>
      <c r="F39" s="9"/>
      <c r="G39" s="9"/>
      <c r="H39" s="9"/>
      <c r="I39" s="9"/>
      <c r="J39" s="9"/>
      <c r="K39" s="46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63.6" customHeight="1">
      <c r="A40" s="17" t="s">
        <v>557</v>
      </c>
      <c r="B40" s="8" t="s">
        <v>174</v>
      </c>
      <c r="C40" s="22" t="s">
        <v>179</v>
      </c>
      <c r="D40" s="21">
        <f>153*Оглавление!H29</f>
        <v>84915</v>
      </c>
      <c r="E40" s="9"/>
      <c r="F40" s="9"/>
      <c r="G40" s="9"/>
      <c r="H40" s="9"/>
      <c r="I40" s="9"/>
      <c r="J40" s="9"/>
      <c r="K40" s="46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63.6" customHeight="1">
      <c r="A41" s="17" t="s">
        <v>558</v>
      </c>
      <c r="B41" s="8" t="s">
        <v>174</v>
      </c>
      <c r="C41" s="23" t="s">
        <v>180</v>
      </c>
      <c r="D41" s="21">
        <f>63*Оглавление!H29</f>
        <v>34965</v>
      </c>
      <c r="E41" s="9"/>
      <c r="F41" s="9"/>
      <c r="G41" s="9"/>
      <c r="H41" s="9"/>
      <c r="I41" s="9"/>
      <c r="J41" s="9"/>
      <c r="K41" s="46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58.95" customHeight="1">
      <c r="A42" s="17" t="s">
        <v>559</v>
      </c>
      <c r="B42" s="8" t="s">
        <v>175</v>
      </c>
      <c r="C42" s="22" t="s">
        <v>181</v>
      </c>
      <c r="D42" s="21">
        <f>99*Оглавление!H29</f>
        <v>54945</v>
      </c>
      <c r="K42" s="46"/>
    </row>
    <row r="43" spans="1:26" ht="56.4" customHeight="1">
      <c r="A43" s="17" t="s">
        <v>560</v>
      </c>
      <c r="B43" s="8" t="s">
        <v>176</v>
      </c>
      <c r="C43" s="23" t="s">
        <v>182</v>
      </c>
      <c r="D43" s="21">
        <f>263*Оглавление!H29</f>
        <v>145965</v>
      </c>
      <c r="K43" s="45"/>
    </row>
    <row r="44" spans="1:26" ht="64.95" customHeight="1">
      <c r="A44" s="17" t="s">
        <v>561</v>
      </c>
      <c r="B44" s="8" t="s">
        <v>112</v>
      </c>
      <c r="C44" s="23" t="s">
        <v>183</v>
      </c>
      <c r="D44" s="21">
        <f>270*Оглавление!H29</f>
        <v>149850</v>
      </c>
      <c r="K44" s="45"/>
    </row>
    <row r="45" spans="1:26" ht="64.95" customHeight="1">
      <c r="A45" s="17" t="s">
        <v>562</v>
      </c>
      <c r="B45" s="8" t="s">
        <v>177</v>
      </c>
      <c r="C45" s="23" t="s">
        <v>184</v>
      </c>
      <c r="D45" s="21">
        <f>268*Оглавление!H29</f>
        <v>148740</v>
      </c>
      <c r="K45" s="45"/>
    </row>
    <row r="46" spans="1:26" ht="64.95" customHeight="1">
      <c r="A46" s="17" t="s">
        <v>563</v>
      </c>
      <c r="B46" s="8" t="s">
        <v>16</v>
      </c>
      <c r="C46" s="23" t="s">
        <v>185</v>
      </c>
      <c r="D46" s="21">
        <f>278*Оглавление!H29</f>
        <v>154290</v>
      </c>
      <c r="K46" s="45"/>
    </row>
    <row r="47" spans="1:26" ht="12.75" customHeight="1" thickBot="1"/>
    <row r="48" spans="1:26" ht="16.5" customHeight="1" thickBot="1">
      <c r="A48" s="77" t="s">
        <v>291</v>
      </c>
      <c r="B48" s="71"/>
      <c r="C48" s="71"/>
      <c r="D48" s="72"/>
    </row>
    <row r="49" spans="1:26" ht="63.6" customHeight="1">
      <c r="A49" s="16" t="s">
        <v>486</v>
      </c>
      <c r="B49" s="10" t="s">
        <v>17</v>
      </c>
      <c r="C49" s="22" t="s">
        <v>207</v>
      </c>
      <c r="D49" s="21">
        <f>214.2*Оглавление!H29</f>
        <v>118881</v>
      </c>
      <c r="E49" s="9"/>
      <c r="F49" s="9"/>
      <c r="G49" s="9"/>
      <c r="H49" s="9"/>
      <c r="I49" s="9"/>
      <c r="J49" s="9"/>
      <c r="K49" s="46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63.6" customHeight="1">
      <c r="A50" s="17" t="s">
        <v>487</v>
      </c>
      <c r="B50" s="8" t="s">
        <v>204</v>
      </c>
      <c r="C50" s="22" t="s">
        <v>206</v>
      </c>
      <c r="D50" s="21">
        <f>169.05*Оглавление!H29</f>
        <v>93822.75</v>
      </c>
      <c r="E50" s="9"/>
      <c r="F50" s="9"/>
      <c r="G50" s="9"/>
      <c r="H50" s="9"/>
      <c r="I50" s="9"/>
      <c r="J50" s="9"/>
      <c r="K50" s="46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63.6" customHeight="1">
      <c r="A51" s="17" t="s">
        <v>488</v>
      </c>
      <c r="B51" s="8" t="s">
        <v>205</v>
      </c>
      <c r="C51" s="23" t="s">
        <v>203</v>
      </c>
      <c r="D51" s="21">
        <f>70.35*Оглавление!H29</f>
        <v>39044.25</v>
      </c>
      <c r="E51" s="9"/>
      <c r="F51" s="9"/>
      <c r="G51" s="9"/>
      <c r="H51" s="9"/>
      <c r="I51" s="9"/>
      <c r="J51" s="9"/>
      <c r="K51" s="46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58.95" customHeight="1">
      <c r="A52" s="17" t="s">
        <v>489</v>
      </c>
      <c r="B52" s="8" t="s">
        <v>112</v>
      </c>
      <c r="C52" s="22" t="s">
        <v>198</v>
      </c>
      <c r="D52" s="21">
        <f>283.5*Оглавление!H29</f>
        <v>157342.5</v>
      </c>
      <c r="K52" s="45"/>
    </row>
    <row r="53" spans="1:26" ht="56.4" customHeight="1">
      <c r="A53" s="17" t="s">
        <v>490</v>
      </c>
      <c r="B53" s="8" t="s">
        <v>177</v>
      </c>
      <c r="C53" s="23" t="s">
        <v>197</v>
      </c>
      <c r="D53" s="21">
        <f>281.4*Оглавление!H29</f>
        <v>156177</v>
      </c>
      <c r="K53" s="45"/>
    </row>
    <row r="54" spans="1:26" ht="64.95" customHeight="1">
      <c r="A54" s="17" t="s">
        <v>564</v>
      </c>
      <c r="B54" s="8" t="s">
        <v>16</v>
      </c>
      <c r="C54" s="23" t="s">
        <v>196</v>
      </c>
      <c r="D54" s="21">
        <f>291.9*Оглавление!H29</f>
        <v>162004.5</v>
      </c>
      <c r="K54" s="45"/>
    </row>
    <row r="55" spans="1:26" ht="12.75" customHeight="1" thickBot="1"/>
    <row r="56" spans="1:26" ht="16.5" customHeight="1" thickBot="1">
      <c r="A56" s="77" t="s">
        <v>360</v>
      </c>
      <c r="B56" s="71"/>
      <c r="C56" s="71"/>
      <c r="D56" s="72"/>
    </row>
    <row r="57" spans="1:26" ht="63.6" customHeight="1">
      <c r="A57" s="16" t="s">
        <v>497</v>
      </c>
      <c r="B57" s="10" t="s">
        <v>215</v>
      </c>
      <c r="C57" s="22" t="s">
        <v>220</v>
      </c>
      <c r="D57" s="21">
        <f>329*Оглавление!H29</f>
        <v>182595</v>
      </c>
      <c r="E57" s="9"/>
      <c r="F57" s="9"/>
      <c r="G57" s="9"/>
      <c r="H57" s="9"/>
      <c r="I57" s="9"/>
      <c r="J57" s="9"/>
      <c r="K57" s="46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63.6" customHeight="1">
      <c r="A58" s="17" t="s">
        <v>498</v>
      </c>
      <c r="B58" s="8" t="s">
        <v>15</v>
      </c>
      <c r="C58" s="22" t="s">
        <v>217</v>
      </c>
      <c r="D58" s="21">
        <f>276*Оглавление!H29</f>
        <v>153180</v>
      </c>
      <c r="E58" s="9"/>
      <c r="F58" s="9"/>
      <c r="G58" s="9"/>
      <c r="H58" s="9"/>
      <c r="I58" s="9"/>
      <c r="J58" s="9"/>
      <c r="K58" s="46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63.6" customHeight="1">
      <c r="A59" s="17" t="s">
        <v>499</v>
      </c>
      <c r="B59" s="8" t="s">
        <v>16</v>
      </c>
      <c r="C59" s="23" t="s">
        <v>218</v>
      </c>
      <c r="D59" s="21">
        <f>329*Оглавление!H29</f>
        <v>182595</v>
      </c>
      <c r="E59" s="9"/>
      <c r="F59" s="9"/>
      <c r="G59" s="9"/>
      <c r="H59" s="9"/>
      <c r="I59" s="9"/>
      <c r="J59" s="9"/>
      <c r="K59" s="46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56.4" customHeight="1">
      <c r="A60" s="17" t="s">
        <v>500</v>
      </c>
      <c r="B60" s="8" t="s">
        <v>216</v>
      </c>
      <c r="C60" s="23" t="s">
        <v>350</v>
      </c>
      <c r="D60" s="21">
        <f>316*Оглавление!H29</f>
        <v>175380</v>
      </c>
      <c r="K60" s="45"/>
    </row>
    <row r="61" spans="1:26" ht="64.95" customHeight="1">
      <c r="A61" s="17" t="s">
        <v>501</v>
      </c>
      <c r="B61" s="8" t="s">
        <v>204</v>
      </c>
      <c r="C61" s="23" t="s">
        <v>219</v>
      </c>
      <c r="D61" s="21">
        <f>278*Оглавление!H29</f>
        <v>154290</v>
      </c>
      <c r="K61" s="45"/>
    </row>
    <row r="62" spans="1:26" ht="12.75" customHeight="1" thickBot="1"/>
    <row r="63" spans="1:26" ht="15.6" customHeight="1" thickBot="1">
      <c r="A63" s="77" t="s">
        <v>268</v>
      </c>
      <c r="B63" s="71"/>
      <c r="C63" s="71"/>
      <c r="D63" s="72"/>
    </row>
    <row r="64" spans="1:26" ht="63.6" customHeight="1">
      <c r="A64" s="16" t="s">
        <v>534</v>
      </c>
      <c r="B64" s="10" t="s">
        <v>15</v>
      </c>
      <c r="C64" s="22" t="s">
        <v>260</v>
      </c>
      <c r="D64" s="21">
        <f>388*Оглавление!H29</f>
        <v>215340</v>
      </c>
      <c r="E64" s="9"/>
      <c r="F64" s="9"/>
      <c r="G64" s="9"/>
      <c r="H64" s="9"/>
      <c r="I64" s="9"/>
      <c r="J64" s="9"/>
      <c r="K64" s="46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63.6" customHeight="1">
      <c r="A65" s="16" t="s">
        <v>535</v>
      </c>
      <c r="B65" s="10" t="s">
        <v>16</v>
      </c>
      <c r="C65" s="22" t="s">
        <v>261</v>
      </c>
      <c r="D65" s="21">
        <f>376*Оглавление!H29</f>
        <v>208680</v>
      </c>
      <c r="E65" s="9"/>
      <c r="F65" s="9"/>
      <c r="G65" s="9"/>
      <c r="H65" s="9"/>
      <c r="I65" s="9"/>
      <c r="J65" s="9"/>
      <c r="K65" s="46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63.6" customHeight="1">
      <c r="A66" s="16" t="s">
        <v>536</v>
      </c>
      <c r="B66" s="8" t="s">
        <v>18</v>
      </c>
      <c r="C66" s="23" t="s">
        <v>262</v>
      </c>
      <c r="D66" s="21">
        <f>442*Оглавление!H29</f>
        <v>245310</v>
      </c>
      <c r="E66" s="9"/>
      <c r="F66" s="9"/>
      <c r="G66" s="9"/>
      <c r="H66" s="9"/>
      <c r="I66" s="9"/>
      <c r="J66" s="9"/>
      <c r="K66" s="46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58.95" customHeight="1">
      <c r="A67" s="16" t="s">
        <v>537</v>
      </c>
      <c r="B67" s="8" t="s">
        <v>216</v>
      </c>
      <c r="C67" s="22" t="s">
        <v>263</v>
      </c>
      <c r="D67" s="21">
        <f>369*Оглавление!H29</f>
        <v>204795</v>
      </c>
      <c r="K67" s="45"/>
    </row>
    <row r="68" spans="1:26" ht="56.4" customHeight="1">
      <c r="A68" s="16" t="s">
        <v>538</v>
      </c>
      <c r="B68" s="8" t="s">
        <v>204</v>
      </c>
      <c r="C68" s="23" t="s">
        <v>219</v>
      </c>
      <c r="D68" s="21">
        <f>266*Оглавление!H29</f>
        <v>147630</v>
      </c>
      <c r="K68" s="45"/>
    </row>
    <row r="69" spans="1:26" ht="12.75" customHeight="1"/>
    <row r="70" spans="1:26" ht="12.75" customHeight="1"/>
    <row r="71" spans="1:26" ht="12.75" customHeight="1"/>
    <row r="72" spans="1:26" ht="12.75" customHeight="1"/>
    <row r="73" spans="1:26" ht="12.75" customHeight="1"/>
    <row r="74" spans="1:26" ht="12.75" customHeight="1"/>
    <row r="75" spans="1:26" ht="12.75" customHeight="1"/>
    <row r="76" spans="1:26" ht="12.75" customHeight="1"/>
    <row r="77" spans="1:26" ht="12.75" customHeight="1"/>
    <row r="78" spans="1:26" ht="12.75" customHeight="1"/>
    <row r="79" spans="1:26" ht="12.75" customHeight="1"/>
    <row r="80" spans="1:2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</sheetData>
  <mergeCells count="7">
    <mergeCell ref="A63:D63"/>
    <mergeCell ref="A3:D3"/>
    <mergeCell ref="A17:D17"/>
    <mergeCell ref="A24:D24"/>
    <mergeCell ref="A38:D38"/>
    <mergeCell ref="A48:D48"/>
    <mergeCell ref="A56:D56"/>
  </mergeCells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AD1B-858E-43B9-8DB6-DA2800134E2D}">
  <sheetPr>
    <tabColor rgb="FFFFFF00"/>
  </sheetPr>
  <dimension ref="A1:D644"/>
  <sheetViews>
    <sheetView workbookViewId="0">
      <selection activeCell="K1" sqref="K1:K1048576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22.95" customHeight="1" thickBot="1">
      <c r="A2" s="77" t="s">
        <v>365</v>
      </c>
      <c r="B2" s="71"/>
      <c r="C2" s="71"/>
      <c r="D2" s="72"/>
    </row>
    <row r="3" spans="1:4" ht="65.400000000000006" customHeight="1">
      <c r="A3" s="16" t="s">
        <v>502</v>
      </c>
      <c r="B3" s="83" t="s">
        <v>222</v>
      </c>
      <c r="C3" s="84"/>
      <c r="D3" s="21">
        <f>194*Оглавление!H29</f>
        <v>107670</v>
      </c>
    </row>
    <row r="4" spans="1:4" ht="64.95" customHeight="1">
      <c r="A4" s="16" t="s">
        <v>503</v>
      </c>
      <c r="B4" s="83" t="s">
        <v>223</v>
      </c>
      <c r="C4" s="84"/>
      <c r="D4" s="21">
        <f>533*Оглавление!H29</f>
        <v>295815</v>
      </c>
    </row>
    <row r="5" spans="1:4" ht="12.75" customHeight="1" thickBot="1"/>
    <row r="6" spans="1:4" ht="22.95" customHeight="1" thickBot="1">
      <c r="A6" s="77" t="s">
        <v>347</v>
      </c>
      <c r="B6" s="71"/>
      <c r="C6" s="71"/>
      <c r="D6" s="72"/>
    </row>
    <row r="7" spans="1:4" ht="65.400000000000006" customHeight="1">
      <c r="A7" s="16" t="s">
        <v>539</v>
      </c>
      <c r="B7" s="83" t="s">
        <v>222</v>
      </c>
      <c r="C7" s="84"/>
      <c r="D7" s="21">
        <f>185*Оглавление!H29</f>
        <v>102675</v>
      </c>
    </row>
    <row r="8" spans="1:4" ht="64.95" customHeight="1">
      <c r="A8" s="16" t="s">
        <v>540</v>
      </c>
      <c r="B8" s="83" t="s">
        <v>223</v>
      </c>
      <c r="C8" s="84"/>
      <c r="D8" s="21">
        <f>538*Оглавление!H29</f>
        <v>298590</v>
      </c>
    </row>
    <row r="9" spans="1:4" ht="12.75" customHeight="1"/>
    <row r="10" spans="1:4" ht="12.75" customHeight="1"/>
    <row r="11" spans="1:4" ht="12.75" customHeight="1"/>
    <row r="12" spans="1:4" ht="12.75" customHeight="1"/>
    <row r="13" spans="1:4" ht="12.75" customHeight="1"/>
    <row r="14" spans="1:4" ht="12.75" customHeight="1"/>
    <row r="15" spans="1:4" ht="12.75" customHeight="1"/>
    <row r="16" spans="1: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</sheetData>
  <mergeCells count="6">
    <mergeCell ref="B8:C8"/>
    <mergeCell ref="A2:D2"/>
    <mergeCell ref="B3:C3"/>
    <mergeCell ref="B4:C4"/>
    <mergeCell ref="A6:D6"/>
    <mergeCell ref="B7:C7"/>
  </mergeCells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B325C-4EC4-47C4-BC65-69337C8218FF}">
  <sheetPr>
    <tabColor rgb="FFFF66CC"/>
  </sheetPr>
  <dimension ref="A1:D588"/>
  <sheetViews>
    <sheetView topLeftCell="A34" workbookViewId="0">
      <selection activeCell="K34" sqref="K1:K1048576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16.5" customHeight="1" thickBot="1">
      <c r="A2" s="82" t="s">
        <v>122</v>
      </c>
      <c r="B2" s="71"/>
      <c r="C2" s="71"/>
      <c r="D2" s="72"/>
    </row>
    <row r="3" spans="1:4" ht="49.95" customHeight="1">
      <c r="A3" s="16" t="s">
        <v>448</v>
      </c>
      <c r="B3" s="83" t="s">
        <v>123</v>
      </c>
      <c r="C3" s="84"/>
      <c r="D3" s="21">
        <f>96*Оглавление!H29</f>
        <v>53280</v>
      </c>
    </row>
    <row r="4" spans="1:4" ht="27.6" customHeight="1">
      <c r="A4" s="16" t="s">
        <v>449</v>
      </c>
      <c r="B4" s="83" t="s">
        <v>124</v>
      </c>
      <c r="C4" s="84"/>
      <c r="D4" s="21">
        <f>96*Оглавление!H29</f>
        <v>53280</v>
      </c>
    </row>
    <row r="5" spans="1:4" ht="31.2" customHeight="1">
      <c r="A5" s="16" t="s">
        <v>450</v>
      </c>
      <c r="B5" s="83" t="s">
        <v>125</v>
      </c>
      <c r="C5" s="84"/>
      <c r="D5" s="21">
        <f>179*Оглавление!H29</f>
        <v>99345</v>
      </c>
    </row>
    <row r="6" spans="1:4" ht="33.6" customHeight="1">
      <c r="A6" s="16" t="s">
        <v>451</v>
      </c>
      <c r="B6" s="83" t="s">
        <v>126</v>
      </c>
      <c r="C6" s="84"/>
      <c r="D6" s="21">
        <f>179*Оглавление!H29</f>
        <v>99345</v>
      </c>
    </row>
    <row r="7" spans="1:4" ht="36.6" customHeight="1">
      <c r="A7" s="16" t="s">
        <v>452</v>
      </c>
      <c r="B7" s="83" t="s">
        <v>127</v>
      </c>
      <c r="C7" s="84"/>
      <c r="D7" s="21">
        <f>86.75*Оглавление!H29</f>
        <v>48146.25</v>
      </c>
    </row>
    <row r="8" spans="1:4" ht="35.4" customHeight="1">
      <c r="A8" s="16" t="s">
        <v>453</v>
      </c>
      <c r="B8" s="83" t="s">
        <v>128</v>
      </c>
      <c r="C8" s="84"/>
      <c r="D8" s="21">
        <f>80*Оглавление!H29</f>
        <v>44400</v>
      </c>
    </row>
    <row r="9" spans="1:4" ht="12.75" customHeight="1" thickBot="1"/>
    <row r="10" spans="1:4" ht="18" customHeight="1" thickBot="1">
      <c r="A10" s="82" t="s">
        <v>187</v>
      </c>
      <c r="B10" s="71"/>
      <c r="C10" s="71"/>
      <c r="D10" s="72"/>
    </row>
    <row r="11" spans="1:4" ht="57" customHeight="1">
      <c r="A11" s="16" t="s">
        <v>448</v>
      </c>
      <c r="B11" s="83" t="s">
        <v>123</v>
      </c>
      <c r="C11" s="84"/>
      <c r="D11" s="21">
        <f>96*Оглавление!H29</f>
        <v>53280</v>
      </c>
    </row>
    <row r="12" spans="1:4" ht="25.2" customHeight="1">
      <c r="A12" s="16" t="s">
        <v>449</v>
      </c>
      <c r="B12" s="83" t="s">
        <v>124</v>
      </c>
      <c r="C12" s="84"/>
      <c r="D12" s="21">
        <f>96*Оглавление!H29</f>
        <v>53280</v>
      </c>
    </row>
    <row r="13" spans="1:4" ht="25.2" customHeight="1">
      <c r="A13" s="16" t="s">
        <v>450</v>
      </c>
      <c r="B13" s="83" t="s">
        <v>125</v>
      </c>
      <c r="C13" s="84"/>
      <c r="D13" s="21">
        <f>179*Оглавление!H29</f>
        <v>99345</v>
      </c>
    </row>
    <row r="14" spans="1:4" ht="29.4" customHeight="1">
      <c r="A14" s="16" t="s">
        <v>451</v>
      </c>
      <c r="B14" s="83" t="s">
        <v>126</v>
      </c>
      <c r="C14" s="84"/>
      <c r="D14" s="21">
        <f>179*Оглавление!H29</f>
        <v>99345</v>
      </c>
    </row>
    <row r="15" spans="1:4" ht="35.4" customHeight="1">
      <c r="A15" s="16" t="s">
        <v>452</v>
      </c>
      <c r="B15" s="83" t="s">
        <v>127</v>
      </c>
      <c r="C15" s="84"/>
      <c r="D15" s="21">
        <f>86.75*Оглавление!H29</f>
        <v>48146.25</v>
      </c>
    </row>
    <row r="16" spans="1:4" ht="35.4" customHeight="1">
      <c r="A16" s="16" t="s">
        <v>453</v>
      </c>
      <c r="B16" s="83" t="s">
        <v>128</v>
      </c>
      <c r="C16" s="84"/>
      <c r="D16" s="21">
        <f>80*Оглавление!H29</f>
        <v>44400</v>
      </c>
    </row>
    <row r="17" spans="1:4" ht="63" customHeight="1">
      <c r="A17" s="16" t="s">
        <v>188</v>
      </c>
      <c r="B17" s="83" t="s">
        <v>190</v>
      </c>
      <c r="C17" s="84"/>
      <c r="D17" s="21">
        <f>76*Оглавление!H29</f>
        <v>42180</v>
      </c>
    </row>
    <row r="18" spans="1:4" ht="64.95" customHeight="1">
      <c r="A18" s="16" t="s">
        <v>189</v>
      </c>
      <c r="B18" s="83" t="s">
        <v>191</v>
      </c>
      <c r="C18" s="84"/>
      <c r="D18" s="21">
        <f>179*Оглавление!H29</f>
        <v>99345</v>
      </c>
    </row>
    <row r="19" spans="1:4" ht="12.75" customHeight="1" thickBot="1"/>
    <row r="20" spans="1:4" ht="18" customHeight="1" thickBot="1">
      <c r="A20" s="82" t="s">
        <v>200</v>
      </c>
      <c r="B20" s="71"/>
      <c r="C20" s="71"/>
      <c r="D20" s="72"/>
    </row>
    <row r="21" spans="1:4" ht="57" customHeight="1">
      <c r="A21" s="16" t="s">
        <v>208</v>
      </c>
      <c r="B21" s="83" t="s">
        <v>211</v>
      </c>
      <c r="C21" s="84"/>
      <c r="D21" s="21">
        <f>227*Оглавление!H29</f>
        <v>125985</v>
      </c>
    </row>
    <row r="22" spans="1:4" ht="25.2" customHeight="1">
      <c r="A22" s="16" t="s">
        <v>209</v>
      </c>
      <c r="B22" s="83" t="s">
        <v>212</v>
      </c>
      <c r="C22" s="84"/>
      <c r="D22" s="21">
        <f>376*Оглавление!H29</f>
        <v>208680</v>
      </c>
    </row>
    <row r="23" spans="1:4" ht="39.6" customHeight="1">
      <c r="A23" s="16" t="s">
        <v>210</v>
      </c>
      <c r="B23" s="83" t="s">
        <v>213</v>
      </c>
      <c r="C23" s="84"/>
      <c r="D23" s="21">
        <f>290*Оглавление!H29</f>
        <v>160950</v>
      </c>
    </row>
    <row r="24" spans="1:4" ht="12.75" customHeight="1" thickBot="1"/>
    <row r="25" spans="1:4" ht="18" customHeight="1" thickBot="1">
      <c r="A25" s="77" t="s">
        <v>376</v>
      </c>
      <c r="B25" s="71"/>
      <c r="C25" s="71"/>
      <c r="D25" s="72"/>
    </row>
    <row r="26" spans="1:4" ht="57" customHeight="1">
      <c r="A26" s="16" t="s">
        <v>188</v>
      </c>
      <c r="B26" s="83" t="s">
        <v>377</v>
      </c>
      <c r="C26" s="84"/>
      <c r="D26" s="21">
        <f>76*Оглавление!H29</f>
        <v>42180</v>
      </c>
    </row>
    <row r="27" spans="1:4" ht="57" customHeight="1">
      <c r="A27" s="16" t="s">
        <v>189</v>
      </c>
      <c r="B27" s="83" t="s">
        <v>378</v>
      </c>
      <c r="C27" s="84"/>
      <c r="D27" s="21">
        <f>179*Оглавление!H29</f>
        <v>99345</v>
      </c>
    </row>
    <row r="28" spans="1:4" ht="54.6" customHeight="1">
      <c r="A28" s="16" t="s">
        <v>448</v>
      </c>
      <c r="B28" s="83" t="s">
        <v>379</v>
      </c>
      <c r="C28" s="84"/>
      <c r="D28" s="21">
        <f>96*Оглавление!H29</f>
        <v>53280</v>
      </c>
    </row>
    <row r="29" spans="1:4" ht="53.4" customHeight="1">
      <c r="A29" s="16" t="s">
        <v>449</v>
      </c>
      <c r="B29" s="83" t="s">
        <v>380</v>
      </c>
      <c r="C29" s="84"/>
      <c r="D29" s="21">
        <f>96*Оглавление!H29</f>
        <v>53280</v>
      </c>
    </row>
    <row r="30" spans="1:4" ht="55.2" customHeight="1">
      <c r="A30" s="16" t="s">
        <v>450</v>
      </c>
      <c r="B30" s="83" t="s">
        <v>381</v>
      </c>
      <c r="C30" s="84"/>
      <c r="D30" s="21">
        <f>179*Оглавление!H29</f>
        <v>99345</v>
      </c>
    </row>
    <row r="31" spans="1:4" ht="39.6" customHeight="1">
      <c r="A31" s="16" t="s">
        <v>451</v>
      </c>
      <c r="B31" s="83" t="s">
        <v>382</v>
      </c>
      <c r="C31" s="84"/>
      <c r="D31" s="21">
        <f>179*Оглавление!H29</f>
        <v>99345</v>
      </c>
    </row>
    <row r="32" spans="1:4" ht="39.6" customHeight="1">
      <c r="A32" s="16" t="s">
        <v>452</v>
      </c>
      <c r="B32" s="83" t="s">
        <v>383</v>
      </c>
      <c r="C32" s="84"/>
      <c r="D32" s="21">
        <f>86.75*Оглавление!H29</f>
        <v>48146.25</v>
      </c>
    </row>
    <row r="33" spans="1:4" ht="39.6" customHeight="1">
      <c r="A33" s="16" t="s">
        <v>453</v>
      </c>
      <c r="B33" s="83" t="s">
        <v>384</v>
      </c>
      <c r="C33" s="84"/>
      <c r="D33" s="21">
        <f>80*Оглавление!H29</f>
        <v>44400</v>
      </c>
    </row>
    <row r="34" spans="1:4" ht="39.6" customHeight="1">
      <c r="A34" s="16" t="s">
        <v>504</v>
      </c>
      <c r="B34" s="83" t="s">
        <v>385</v>
      </c>
      <c r="C34" s="84"/>
      <c r="D34" s="21">
        <f>113*Оглавление!H29</f>
        <v>62715</v>
      </c>
    </row>
    <row r="35" spans="1:4" ht="12.75" customHeight="1" thickBot="1"/>
    <row r="36" spans="1:4" ht="18" customHeight="1" thickBot="1">
      <c r="A36" s="82" t="s">
        <v>264</v>
      </c>
      <c r="B36" s="71"/>
      <c r="C36" s="71"/>
      <c r="D36" s="72"/>
    </row>
    <row r="37" spans="1:4" ht="57" customHeight="1">
      <c r="A37" s="16" t="s">
        <v>208</v>
      </c>
      <c r="B37" s="83" t="s">
        <v>269</v>
      </c>
      <c r="C37" s="84"/>
      <c r="D37" s="21">
        <f>227*Оглавление!H29</f>
        <v>125985</v>
      </c>
    </row>
    <row r="38" spans="1:4" ht="57" customHeight="1">
      <c r="A38" s="16" t="s">
        <v>209</v>
      </c>
      <c r="B38" s="83" t="s">
        <v>270</v>
      </c>
      <c r="C38" s="84"/>
      <c r="D38" s="21">
        <f>376*Оглавление!H29</f>
        <v>208680</v>
      </c>
    </row>
    <row r="39" spans="1:4" ht="54.6" customHeight="1">
      <c r="A39" s="16" t="s">
        <v>210</v>
      </c>
      <c r="B39" s="83" t="s">
        <v>386</v>
      </c>
      <c r="C39" s="84"/>
      <c r="D39" s="21">
        <f>290*Оглавление!H29</f>
        <v>160950</v>
      </c>
    </row>
    <row r="40" spans="1:4" ht="12.75" customHeight="1"/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</sheetData>
  <mergeCells count="34">
    <mergeCell ref="B15:C15"/>
    <mergeCell ref="A2:D2"/>
    <mergeCell ref="B3:C3"/>
    <mergeCell ref="B4:C4"/>
    <mergeCell ref="B7:C7"/>
    <mergeCell ref="B8:C8"/>
    <mergeCell ref="B5:C5"/>
    <mergeCell ref="B6:C6"/>
    <mergeCell ref="A10:D10"/>
    <mergeCell ref="B11:C11"/>
    <mergeCell ref="B12:C12"/>
    <mergeCell ref="B13:C13"/>
    <mergeCell ref="B14:C14"/>
    <mergeCell ref="B29:C29"/>
    <mergeCell ref="B16:C16"/>
    <mergeCell ref="B17:C17"/>
    <mergeCell ref="B18:C18"/>
    <mergeCell ref="A20:D20"/>
    <mergeCell ref="B21:C21"/>
    <mergeCell ref="B22:C22"/>
    <mergeCell ref="B23:C23"/>
    <mergeCell ref="A25:D25"/>
    <mergeCell ref="B26:C26"/>
    <mergeCell ref="B27:C27"/>
    <mergeCell ref="B28:C28"/>
    <mergeCell ref="B37:C37"/>
    <mergeCell ref="B38:C38"/>
    <mergeCell ref="B39:C39"/>
    <mergeCell ref="B30:C30"/>
    <mergeCell ref="B31:C31"/>
    <mergeCell ref="B32:C32"/>
    <mergeCell ref="B33:C33"/>
    <mergeCell ref="B34:C34"/>
    <mergeCell ref="A36:D36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A18A-28C3-4AE2-A6D6-8107F4715E88}">
  <sheetPr>
    <tabColor rgb="FF0070C0"/>
  </sheetPr>
  <dimension ref="A1:D397"/>
  <sheetViews>
    <sheetView workbookViewId="0">
      <selection activeCell="E7" sqref="E7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16.5" customHeight="1" thickBot="1">
      <c r="A2" s="82" t="s">
        <v>88</v>
      </c>
      <c r="B2" s="71"/>
      <c r="C2" s="71"/>
      <c r="D2" s="72"/>
    </row>
    <row r="3" spans="1:4" ht="56.4" customHeight="1">
      <c r="A3" s="16" t="s">
        <v>424</v>
      </c>
      <c r="B3" s="83" t="s">
        <v>85</v>
      </c>
      <c r="C3" s="84"/>
      <c r="D3" s="21">
        <f>91*Оглавление!H29</f>
        <v>50505</v>
      </c>
    </row>
    <row r="4" spans="1:4" ht="54" customHeight="1">
      <c r="A4" s="17" t="s">
        <v>425</v>
      </c>
      <c r="B4" s="83" t="s">
        <v>592</v>
      </c>
      <c r="C4" s="84"/>
      <c r="D4" s="21">
        <f>36.5*Оглавление!H29</f>
        <v>20257.5</v>
      </c>
    </row>
    <row r="5" spans="1:4" ht="27.6" customHeight="1">
      <c r="A5" s="17" t="s">
        <v>426</v>
      </c>
      <c r="B5" s="83" t="s">
        <v>86</v>
      </c>
      <c r="C5" s="84"/>
      <c r="D5" s="21">
        <f>74*Оглавление!H29</f>
        <v>41070</v>
      </c>
    </row>
    <row r="6" spans="1:4" ht="24" customHeight="1">
      <c r="A6" s="17" t="s">
        <v>427</v>
      </c>
      <c r="B6" s="83" t="s">
        <v>87</v>
      </c>
      <c r="C6" s="84"/>
      <c r="D6" s="21">
        <f>60*Оглавление!H29</f>
        <v>33300</v>
      </c>
    </row>
    <row r="7" spans="1:4" ht="12.75" customHeight="1" thickBot="1"/>
    <row r="8" spans="1:4" ht="16.5" customHeight="1" thickBot="1">
      <c r="A8" s="82" t="s">
        <v>102</v>
      </c>
      <c r="B8" s="71"/>
      <c r="C8" s="71"/>
      <c r="D8" s="72"/>
    </row>
    <row r="9" spans="1:4" ht="56.4" customHeight="1">
      <c r="A9" s="16" t="s">
        <v>424</v>
      </c>
      <c r="B9" s="83" t="s">
        <v>85</v>
      </c>
      <c r="C9" s="84"/>
      <c r="D9" s="21">
        <f>91*Оглавление!H29</f>
        <v>50505</v>
      </c>
    </row>
    <row r="10" spans="1:4" ht="54" customHeight="1">
      <c r="A10" s="17" t="s">
        <v>425</v>
      </c>
      <c r="B10" s="83" t="s">
        <v>592</v>
      </c>
      <c r="C10" s="84"/>
      <c r="D10" s="21">
        <f>36.5*Оглавление!H29</f>
        <v>20257.5</v>
      </c>
    </row>
    <row r="11" spans="1:4" ht="27.6" customHeight="1">
      <c r="A11" s="17" t="s">
        <v>426</v>
      </c>
      <c r="B11" s="83" t="s">
        <v>86</v>
      </c>
      <c r="C11" s="84"/>
      <c r="D11" s="21">
        <f>74*Оглавление!H29</f>
        <v>41070</v>
      </c>
    </row>
    <row r="12" spans="1:4" ht="24" customHeight="1">
      <c r="A12" s="17" t="s">
        <v>427</v>
      </c>
      <c r="B12" s="83" t="s">
        <v>87</v>
      </c>
      <c r="C12" s="84"/>
      <c r="D12" s="21">
        <f>60*Оглавление!H29</f>
        <v>33300</v>
      </c>
    </row>
    <row r="13" spans="1:4" ht="12.75" customHeight="1" thickBot="1"/>
    <row r="14" spans="1:4" ht="16.5" customHeight="1" thickBot="1">
      <c r="A14" s="82" t="s">
        <v>130</v>
      </c>
      <c r="B14" s="71"/>
      <c r="C14" s="71"/>
      <c r="D14" s="72"/>
    </row>
    <row r="15" spans="1:4" ht="56.4" customHeight="1">
      <c r="A15" s="16" t="s">
        <v>424</v>
      </c>
      <c r="B15" s="83" t="s">
        <v>85</v>
      </c>
      <c r="C15" s="84"/>
      <c r="D15" s="21">
        <f>91*Оглавление!H29</f>
        <v>50505</v>
      </c>
    </row>
    <row r="16" spans="1:4" ht="54" customHeight="1">
      <c r="A16" s="17" t="s">
        <v>425</v>
      </c>
      <c r="B16" s="83" t="s">
        <v>592</v>
      </c>
      <c r="C16" s="84"/>
      <c r="D16" s="21">
        <f>36.5*Оглавление!H29</f>
        <v>20257.5</v>
      </c>
    </row>
    <row r="17" spans="1:4" ht="27.6" customHeight="1">
      <c r="A17" s="17" t="s">
        <v>426</v>
      </c>
      <c r="B17" s="83" t="s">
        <v>86</v>
      </c>
      <c r="C17" s="84"/>
      <c r="D17" s="21">
        <f>74*Оглавление!H29</f>
        <v>41070</v>
      </c>
    </row>
    <row r="18" spans="1:4" ht="24" customHeight="1">
      <c r="A18" s="17" t="s">
        <v>427</v>
      </c>
      <c r="B18" s="83" t="s">
        <v>87</v>
      </c>
      <c r="C18" s="84"/>
      <c r="D18" s="21">
        <f>60*Оглавление!H29</f>
        <v>33300</v>
      </c>
    </row>
    <row r="19" spans="1:4" ht="12.75" customHeight="1" thickBot="1"/>
    <row r="20" spans="1:4" ht="16.5" customHeight="1" thickBot="1">
      <c r="A20" s="82" t="s">
        <v>186</v>
      </c>
      <c r="B20" s="71"/>
      <c r="C20" s="71"/>
      <c r="D20" s="72"/>
    </row>
    <row r="21" spans="1:4" ht="56.4" customHeight="1">
      <c r="A21" s="16" t="s">
        <v>424</v>
      </c>
      <c r="B21" s="83" t="s">
        <v>85</v>
      </c>
      <c r="C21" s="84"/>
      <c r="D21" s="21">
        <f>91*Оглавление!H29</f>
        <v>50505</v>
      </c>
    </row>
    <row r="22" spans="1:4" ht="54" customHeight="1">
      <c r="A22" s="17" t="s">
        <v>425</v>
      </c>
      <c r="B22" s="83" t="s">
        <v>592</v>
      </c>
      <c r="C22" s="84"/>
      <c r="D22" s="21">
        <f>36.5*Оглавление!H29</f>
        <v>20257.5</v>
      </c>
    </row>
    <row r="23" spans="1:4" ht="27.6" customHeight="1">
      <c r="A23" s="17" t="s">
        <v>426</v>
      </c>
      <c r="B23" s="83" t="s">
        <v>86</v>
      </c>
      <c r="C23" s="84"/>
      <c r="D23" s="21">
        <f>74*Оглавление!H29</f>
        <v>41070</v>
      </c>
    </row>
    <row r="24" spans="1:4" ht="24" customHeight="1">
      <c r="A24" s="17" t="s">
        <v>427</v>
      </c>
      <c r="B24" s="83" t="s">
        <v>87</v>
      </c>
      <c r="C24" s="84"/>
      <c r="D24" s="21">
        <f>60*Оглавление!H29</f>
        <v>33300</v>
      </c>
    </row>
    <row r="25" spans="1:4" ht="12.75" customHeight="1" thickBot="1"/>
    <row r="26" spans="1:4" ht="16.5" customHeight="1" thickBot="1">
      <c r="A26" s="82" t="s">
        <v>201</v>
      </c>
      <c r="B26" s="71"/>
      <c r="C26" s="71"/>
      <c r="D26" s="72"/>
    </row>
    <row r="27" spans="1:4" ht="56.4" customHeight="1">
      <c r="A27" s="16" t="s">
        <v>541</v>
      </c>
      <c r="B27" s="83" t="s">
        <v>593</v>
      </c>
      <c r="C27" s="84"/>
      <c r="D27" s="21">
        <f>104*Оглавление!H29</f>
        <v>57720</v>
      </c>
    </row>
    <row r="28" spans="1:4" ht="12.75" customHeight="1" thickBot="1"/>
    <row r="29" spans="1:4" ht="16.5" customHeight="1" thickBot="1">
      <c r="A29" s="77" t="s">
        <v>357</v>
      </c>
      <c r="B29" s="71"/>
      <c r="C29" s="71"/>
      <c r="D29" s="72"/>
    </row>
    <row r="30" spans="1:4" ht="56.4" customHeight="1">
      <c r="A30" s="16" t="s">
        <v>505</v>
      </c>
      <c r="B30" s="83" t="s">
        <v>231</v>
      </c>
      <c r="C30" s="84"/>
      <c r="D30" s="21">
        <f>87*Оглавление!H29</f>
        <v>48285</v>
      </c>
    </row>
    <row r="31" spans="1:4" ht="54" customHeight="1">
      <c r="A31" s="17" t="s">
        <v>506</v>
      </c>
      <c r="B31" s="83" t="s">
        <v>230</v>
      </c>
      <c r="C31" s="84"/>
      <c r="D31" s="21">
        <f>66.25*Оглавление!H29</f>
        <v>36768.75</v>
      </c>
    </row>
    <row r="32" spans="1:4" ht="27.6" customHeight="1">
      <c r="A32" s="17" t="s">
        <v>426</v>
      </c>
      <c r="B32" s="83" t="s">
        <v>358</v>
      </c>
      <c r="C32" s="84"/>
      <c r="D32" s="21">
        <f>74*Оглавление!H29</f>
        <v>41070</v>
      </c>
    </row>
    <row r="33" spans="1:4" ht="24" customHeight="1">
      <c r="A33" s="17" t="s">
        <v>427</v>
      </c>
      <c r="B33" s="83" t="s">
        <v>359</v>
      </c>
      <c r="C33" s="84"/>
      <c r="D33" s="21">
        <f>60*Оглавление!H29</f>
        <v>33300</v>
      </c>
    </row>
    <row r="34" spans="1:4" ht="24" customHeight="1">
      <c r="A34" s="18" t="s">
        <v>507</v>
      </c>
      <c r="B34" s="83" t="s">
        <v>229</v>
      </c>
      <c r="C34" s="84"/>
      <c r="D34" s="21">
        <f>41*Оглавление!H29</f>
        <v>22755</v>
      </c>
    </row>
    <row r="35" spans="1:4" ht="12.75" customHeight="1" thickBot="1"/>
    <row r="36" spans="1:4" ht="16.5" customHeight="1" thickBot="1">
      <c r="A36" s="82" t="s">
        <v>265</v>
      </c>
      <c r="B36" s="71"/>
      <c r="C36" s="71"/>
      <c r="D36" s="72"/>
    </row>
    <row r="37" spans="1:4" ht="54" customHeight="1">
      <c r="A37" s="17" t="s">
        <v>506</v>
      </c>
      <c r="B37" s="83" t="s">
        <v>230</v>
      </c>
      <c r="C37" s="84"/>
      <c r="D37" s="21">
        <f>66.25*Оглавление!H29</f>
        <v>36768.75</v>
      </c>
    </row>
    <row r="38" spans="1:4" ht="27.6" customHeight="1">
      <c r="A38" s="17" t="s">
        <v>426</v>
      </c>
      <c r="B38" s="83" t="s">
        <v>86</v>
      </c>
      <c r="C38" s="84"/>
      <c r="D38" s="21">
        <f>74*Оглавление!H29</f>
        <v>41070</v>
      </c>
    </row>
    <row r="39" spans="1:4" ht="24" customHeight="1">
      <c r="A39" s="17" t="s">
        <v>427</v>
      </c>
      <c r="B39" s="83" t="s">
        <v>87</v>
      </c>
      <c r="C39" s="84"/>
      <c r="D39" s="21">
        <f>60*Оглавление!H29</f>
        <v>33300</v>
      </c>
    </row>
    <row r="40" spans="1:4" ht="24" customHeight="1">
      <c r="A40" s="17" t="s">
        <v>541</v>
      </c>
      <c r="B40" s="83" t="s">
        <v>273</v>
      </c>
      <c r="C40" s="84"/>
      <c r="D40" s="21">
        <f>104*Оглавление!H29</f>
        <v>57720</v>
      </c>
    </row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</sheetData>
  <mergeCells count="33">
    <mergeCell ref="A2:D2"/>
    <mergeCell ref="B3:C3"/>
    <mergeCell ref="B4:C4"/>
    <mergeCell ref="B5:C5"/>
    <mergeCell ref="B6:C6"/>
    <mergeCell ref="A26:D26"/>
    <mergeCell ref="B30:C30"/>
    <mergeCell ref="B31:C31"/>
    <mergeCell ref="A29:D29"/>
    <mergeCell ref="B27:C27"/>
    <mergeCell ref="A8:D8"/>
    <mergeCell ref="B9:C9"/>
    <mergeCell ref="B10:C10"/>
    <mergeCell ref="A14:D14"/>
    <mergeCell ref="B24:C24"/>
    <mergeCell ref="B22:C22"/>
    <mergeCell ref="B23:C23"/>
    <mergeCell ref="B15:C15"/>
    <mergeCell ref="B16:C16"/>
    <mergeCell ref="B17:C17"/>
    <mergeCell ref="B18:C18"/>
    <mergeCell ref="A20:D20"/>
    <mergeCell ref="B21:C21"/>
    <mergeCell ref="B11:C11"/>
    <mergeCell ref="B12:C12"/>
    <mergeCell ref="B40:C40"/>
    <mergeCell ref="B32:C32"/>
    <mergeCell ref="B33:C33"/>
    <mergeCell ref="A36:D36"/>
    <mergeCell ref="B37:C37"/>
    <mergeCell ref="B38:C38"/>
    <mergeCell ref="B39:C39"/>
    <mergeCell ref="B34:C34"/>
  </mergeCells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C254-A011-4230-BEAA-537691E4E0AC}">
  <sheetPr>
    <tabColor rgb="FF00C032"/>
  </sheetPr>
  <dimension ref="A1:D345"/>
  <sheetViews>
    <sheetView workbookViewId="0">
      <selection activeCell="D4" sqref="D4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/>
    <row r="2" spans="1:4" ht="12.75" customHeight="1" thickBot="1">
      <c r="A2" s="82" t="s">
        <v>292</v>
      </c>
      <c r="B2" s="71"/>
      <c r="C2" s="71"/>
      <c r="D2" s="72"/>
    </row>
    <row r="3" spans="1:4" ht="57" customHeight="1">
      <c r="A3" s="16" t="s">
        <v>429</v>
      </c>
      <c r="B3" s="83" t="s">
        <v>91</v>
      </c>
      <c r="C3" s="84"/>
      <c r="D3" s="21">
        <f>252*Оглавление!H29</f>
        <v>139860</v>
      </c>
    </row>
    <row r="4" spans="1:4" ht="58.2" customHeight="1">
      <c r="A4" s="24" t="s">
        <v>430</v>
      </c>
      <c r="B4" s="83" t="s">
        <v>92</v>
      </c>
      <c r="C4" s="84"/>
      <c r="D4" s="21">
        <f>252*Оглавление!H29</f>
        <v>139860</v>
      </c>
    </row>
    <row r="5" spans="1:4" ht="12.75" customHeight="1">
      <c r="A5" s="24" t="s">
        <v>431</v>
      </c>
      <c r="B5" s="83" t="s">
        <v>93</v>
      </c>
      <c r="C5" s="84"/>
      <c r="D5" s="21">
        <f>151.25*Оглавление!H29</f>
        <v>83943.75</v>
      </c>
    </row>
    <row r="6" spans="1:4" ht="12.75" customHeight="1">
      <c r="A6" s="24" t="s">
        <v>432</v>
      </c>
      <c r="B6" s="83" t="s">
        <v>94</v>
      </c>
      <c r="C6" s="84"/>
      <c r="D6" s="21">
        <f>83*Оглавление!H29</f>
        <v>46065</v>
      </c>
    </row>
    <row r="7" spans="1:4" ht="12.75" customHeight="1">
      <c r="A7" s="24" t="s">
        <v>433</v>
      </c>
      <c r="B7" s="83" t="s">
        <v>95</v>
      </c>
      <c r="C7" s="84"/>
      <c r="D7" s="21">
        <f>155*Оглавление!H29</f>
        <v>86025</v>
      </c>
    </row>
    <row r="8" spans="1:4" ht="12.75" customHeight="1">
      <c r="A8" s="24" t="s">
        <v>434</v>
      </c>
      <c r="B8" s="83" t="s">
        <v>96</v>
      </c>
      <c r="C8" s="84"/>
      <c r="D8" s="21">
        <f>131.25*Оглавление!H29</f>
        <v>72843.75</v>
      </c>
    </row>
    <row r="9" spans="1:4" ht="12.75" customHeight="1">
      <c r="A9" s="24" t="s">
        <v>435</v>
      </c>
      <c r="B9" s="83" t="s">
        <v>97</v>
      </c>
      <c r="C9" s="84"/>
      <c r="D9" s="21">
        <f>190*Оглавление!H29</f>
        <v>105450</v>
      </c>
    </row>
    <row r="10" spans="1:4" ht="21.6" customHeight="1">
      <c r="A10" s="16" t="s">
        <v>436</v>
      </c>
      <c r="B10" s="83" t="s">
        <v>98</v>
      </c>
      <c r="C10" s="84"/>
      <c r="D10" s="21">
        <f>227*Оглавление!H29</f>
        <v>125985</v>
      </c>
    </row>
    <row r="11" spans="1:4" ht="12.75" customHeight="1"/>
    <row r="12" spans="1:4" ht="12.75" customHeight="1" thickBot="1"/>
    <row r="13" spans="1:4" ht="12.75" customHeight="1" thickBot="1">
      <c r="A13" s="82" t="s">
        <v>202</v>
      </c>
      <c r="B13" s="71"/>
      <c r="C13" s="71"/>
      <c r="D13" s="72"/>
    </row>
    <row r="14" spans="1:4" ht="12.75" customHeight="1">
      <c r="A14" s="24" t="s">
        <v>432</v>
      </c>
      <c r="B14" s="83" t="s">
        <v>94</v>
      </c>
      <c r="C14" s="84"/>
      <c r="D14" s="21">
        <f>83*Оглавление!H29</f>
        <v>46065</v>
      </c>
    </row>
    <row r="15" spans="1:4" ht="12.75" customHeight="1">
      <c r="A15" s="24" t="s">
        <v>433</v>
      </c>
      <c r="B15" s="83" t="s">
        <v>95</v>
      </c>
      <c r="C15" s="84"/>
      <c r="D15" s="21">
        <f>155*Оглавление!H29</f>
        <v>86025</v>
      </c>
    </row>
    <row r="16" spans="1:4" ht="12.75" customHeight="1">
      <c r="A16" s="24" t="s">
        <v>434</v>
      </c>
      <c r="B16" s="83" t="s">
        <v>96</v>
      </c>
      <c r="C16" s="84"/>
      <c r="D16" s="21">
        <f>131.25*Оглавление!H29</f>
        <v>72843.75</v>
      </c>
    </row>
    <row r="17" spans="1:4" ht="12.75" customHeight="1">
      <c r="A17" s="24" t="s">
        <v>435</v>
      </c>
      <c r="B17" s="83" t="s">
        <v>97</v>
      </c>
      <c r="C17" s="84"/>
      <c r="D17" s="21">
        <f>190*Оглавление!H29</f>
        <v>105450</v>
      </c>
    </row>
    <row r="18" spans="1:4" ht="21.6" customHeight="1">
      <c r="A18" s="16" t="s">
        <v>436</v>
      </c>
      <c r="B18" s="83" t="s">
        <v>98</v>
      </c>
      <c r="C18" s="84"/>
      <c r="D18" s="21">
        <f>227*Оглавление!H29</f>
        <v>125985</v>
      </c>
    </row>
    <row r="19" spans="1:4" ht="12.75" customHeight="1" thickBot="1"/>
    <row r="20" spans="1:4" ht="12.75" customHeight="1" thickBot="1">
      <c r="A20" s="77" t="s">
        <v>387</v>
      </c>
      <c r="B20" s="71"/>
      <c r="C20" s="71"/>
      <c r="D20" s="72"/>
    </row>
    <row r="21" spans="1:4" ht="12.75" customHeight="1">
      <c r="A21" s="24" t="s">
        <v>435</v>
      </c>
      <c r="B21" s="83" t="s">
        <v>97</v>
      </c>
      <c r="C21" s="84"/>
      <c r="D21" s="21">
        <f>190*Оглавление!H29</f>
        <v>105450</v>
      </c>
    </row>
    <row r="22" spans="1:4" ht="21.6" customHeight="1">
      <c r="A22" s="16" t="s">
        <v>436</v>
      </c>
      <c r="B22" s="83" t="s">
        <v>98</v>
      </c>
      <c r="C22" s="84"/>
      <c r="D22" s="21">
        <f>227*Оглавление!H29</f>
        <v>125985</v>
      </c>
    </row>
    <row r="23" spans="1:4" ht="49.95" customHeight="1">
      <c r="A23" s="16" t="s">
        <v>509</v>
      </c>
      <c r="B23" s="83" t="s">
        <v>232</v>
      </c>
      <c r="C23" s="84"/>
      <c r="D23" s="21">
        <f>1053.25*Оглавление!H29</f>
        <v>584553.75</v>
      </c>
    </row>
    <row r="24" spans="1:4" ht="12.75" customHeight="1"/>
    <row r="25" spans="1:4" ht="12.75" customHeight="1"/>
    <row r="26" spans="1:4" ht="12.75" customHeight="1"/>
    <row r="27" spans="1:4" ht="12.75" customHeight="1"/>
    <row r="28" spans="1:4" ht="12.75" customHeight="1"/>
    <row r="29" spans="1:4" ht="12.75" customHeight="1"/>
    <row r="30" spans="1:4" ht="12.75" customHeight="1"/>
    <row r="31" spans="1:4" ht="12.75" customHeight="1"/>
    <row r="32" spans="1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</sheetData>
  <mergeCells count="19">
    <mergeCell ref="B23:C23"/>
    <mergeCell ref="B14:C14"/>
    <mergeCell ref="B15:C15"/>
    <mergeCell ref="B18:C18"/>
    <mergeCell ref="B7:C7"/>
    <mergeCell ref="B8:C8"/>
    <mergeCell ref="B9:C9"/>
    <mergeCell ref="B10:C10"/>
    <mergeCell ref="A20:D20"/>
    <mergeCell ref="B21:C21"/>
    <mergeCell ref="B22:C22"/>
    <mergeCell ref="A13:D13"/>
    <mergeCell ref="B16:C16"/>
    <mergeCell ref="B17:C17"/>
    <mergeCell ref="A2:D2"/>
    <mergeCell ref="B3:C3"/>
    <mergeCell ref="B4:C4"/>
    <mergeCell ref="B5:C5"/>
    <mergeCell ref="B6:C6"/>
  </mergeCells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1245-DA44-409A-B1D9-ACF8C136E662}">
  <dimension ref="A1:F95"/>
  <sheetViews>
    <sheetView topLeftCell="A22" zoomScale="102" zoomScaleNormal="102" workbookViewId="0">
      <selection activeCell="K25" sqref="K25"/>
    </sheetView>
  </sheetViews>
  <sheetFormatPr defaultRowHeight="13.2"/>
  <cols>
    <col min="1" max="1" width="10.88671875" customWidth="1"/>
    <col min="2" max="2" width="77.33203125" customWidth="1"/>
    <col min="3" max="3" width="15.6640625" customWidth="1"/>
    <col min="4" max="6" width="11.5546875" customWidth="1"/>
  </cols>
  <sheetData>
    <row r="1" spans="1:6">
      <c r="A1" s="103"/>
      <c r="B1" s="103"/>
      <c r="C1" s="39" t="s">
        <v>332</v>
      </c>
      <c r="D1" s="51" t="s">
        <v>597</v>
      </c>
      <c r="E1" s="51" t="s">
        <v>598</v>
      </c>
      <c r="F1" s="51" t="s">
        <v>599</v>
      </c>
    </row>
    <row r="2" spans="1:6">
      <c r="A2" s="104" t="s">
        <v>12</v>
      </c>
      <c r="B2" s="104" t="s">
        <v>333</v>
      </c>
      <c r="C2" s="39" t="s">
        <v>334</v>
      </c>
    </row>
    <row r="3" spans="1:6">
      <c r="A3" s="105"/>
      <c r="B3" s="105"/>
      <c r="C3" s="40" t="s">
        <v>293</v>
      </c>
    </row>
    <row r="4" spans="1:6">
      <c r="A4" s="106"/>
      <c r="B4" s="106"/>
      <c r="C4" s="36"/>
    </row>
    <row r="5" spans="1:6">
      <c r="A5" s="107"/>
      <c r="B5" s="107"/>
      <c r="C5" s="36"/>
    </row>
    <row r="6" spans="1:6">
      <c r="A6" s="102" t="s">
        <v>335</v>
      </c>
      <c r="B6" s="102"/>
      <c r="C6" s="36"/>
    </row>
    <row r="7" spans="1:6" ht="30" customHeight="1">
      <c r="A7" s="41" t="s">
        <v>406</v>
      </c>
      <c r="B7" s="35" t="s">
        <v>361</v>
      </c>
      <c r="C7" s="38">
        <f>2448*Оглавление!H29</f>
        <v>1358640</v>
      </c>
      <c r="D7" s="38">
        <f>C7*0.95</f>
        <v>1290708</v>
      </c>
      <c r="E7" s="38">
        <f>C7*0.9</f>
        <v>1222776</v>
      </c>
      <c r="F7" s="38">
        <f>C7*0.8</f>
        <v>1086912</v>
      </c>
    </row>
    <row r="8" spans="1:6" ht="31.95" customHeight="1">
      <c r="A8" s="41" t="s">
        <v>409</v>
      </c>
      <c r="B8" s="35" t="s">
        <v>362</v>
      </c>
      <c r="C8" s="38">
        <f>3035*Оглавление!H29</f>
        <v>1684425</v>
      </c>
      <c r="D8" s="38">
        <f t="shared" ref="D8:D71" si="0">C8*0.95</f>
        <v>1600203.75</v>
      </c>
      <c r="E8" s="38">
        <f t="shared" ref="E8:E71" si="1">C8*0.9</f>
        <v>1515982.5</v>
      </c>
      <c r="F8" s="38">
        <f t="shared" ref="F8:F71" si="2">C8*0.8</f>
        <v>1347540</v>
      </c>
    </row>
    <row r="9" spans="1:6" ht="30" customHeight="1">
      <c r="A9" s="41" t="s">
        <v>407</v>
      </c>
      <c r="B9" s="35" t="s">
        <v>363</v>
      </c>
      <c r="C9" s="38">
        <f>3210*Оглавление!H29</f>
        <v>1781550</v>
      </c>
      <c r="D9" s="38">
        <f t="shared" si="0"/>
        <v>1692472.5</v>
      </c>
      <c r="E9" s="38">
        <f t="shared" si="1"/>
        <v>1603395</v>
      </c>
      <c r="F9" s="38">
        <f t="shared" si="2"/>
        <v>1425240</v>
      </c>
    </row>
    <row r="10" spans="1:6" ht="31.2" customHeight="1">
      <c r="A10" s="41" t="s">
        <v>412</v>
      </c>
      <c r="B10" s="35" t="s">
        <v>364</v>
      </c>
      <c r="C10" s="38">
        <f>3790*Оглавление!H29</f>
        <v>2103450</v>
      </c>
      <c r="D10" s="38">
        <f t="shared" si="0"/>
        <v>1998277.5</v>
      </c>
      <c r="E10" s="38">
        <f t="shared" si="1"/>
        <v>1893105</v>
      </c>
      <c r="F10" s="38">
        <f t="shared" si="2"/>
        <v>1682760</v>
      </c>
    </row>
    <row r="11" spans="1:6" ht="28.95" customHeight="1">
      <c r="A11" s="41" t="s">
        <v>454</v>
      </c>
      <c r="B11" s="35" t="s">
        <v>366</v>
      </c>
      <c r="C11" s="38">
        <f>3430*Оглавление!H29</f>
        <v>1903650</v>
      </c>
      <c r="D11" s="38">
        <f t="shared" si="0"/>
        <v>1808467.5</v>
      </c>
      <c r="E11" s="38">
        <f t="shared" si="1"/>
        <v>1713285</v>
      </c>
      <c r="F11" s="38">
        <f t="shared" si="2"/>
        <v>1522920</v>
      </c>
    </row>
    <row r="12" spans="1:6" ht="31.2" customHeight="1">
      <c r="A12" s="41" t="s">
        <v>460</v>
      </c>
      <c r="B12" s="35" t="s">
        <v>367</v>
      </c>
      <c r="C12" s="38">
        <f>3773*Оглавление!H29</f>
        <v>2094015</v>
      </c>
      <c r="D12" s="38">
        <f t="shared" si="0"/>
        <v>1989314.25</v>
      </c>
      <c r="E12" s="38">
        <f t="shared" si="1"/>
        <v>1884613.5</v>
      </c>
      <c r="F12" s="38">
        <f t="shared" si="2"/>
        <v>1675212</v>
      </c>
    </row>
    <row r="13" spans="1:6" ht="31.2" customHeight="1">
      <c r="A13" s="41" t="s">
        <v>565</v>
      </c>
      <c r="B13" s="35" t="s">
        <v>368</v>
      </c>
      <c r="C13" s="38">
        <f>7830.2*Оглавление!H29</f>
        <v>4345761</v>
      </c>
      <c r="D13" s="38">
        <f t="shared" si="0"/>
        <v>4128472.9499999997</v>
      </c>
      <c r="E13" s="38">
        <f t="shared" si="1"/>
        <v>3911184.9</v>
      </c>
      <c r="F13" s="38">
        <f t="shared" si="2"/>
        <v>3476608.8000000003</v>
      </c>
    </row>
    <row r="14" spans="1:6" ht="21" customHeight="1">
      <c r="A14" s="41" t="s">
        <v>491</v>
      </c>
      <c r="B14" s="35" t="s">
        <v>369</v>
      </c>
      <c r="C14" s="38">
        <f>5189.1*Оглавление!H29</f>
        <v>2879950.5</v>
      </c>
      <c r="D14" s="38">
        <f t="shared" si="0"/>
        <v>2735952.9750000001</v>
      </c>
      <c r="E14" s="38">
        <f t="shared" si="1"/>
        <v>2591955.4500000002</v>
      </c>
      <c r="F14" s="38">
        <f t="shared" si="2"/>
        <v>2303960.4</v>
      </c>
    </row>
    <row r="15" spans="1:6" ht="21" customHeight="1">
      <c r="A15" s="41" t="s">
        <v>492</v>
      </c>
      <c r="B15" s="35" t="s">
        <v>370</v>
      </c>
      <c r="C15" s="38">
        <f>6555.2*Оглавление!H29</f>
        <v>3638136</v>
      </c>
      <c r="D15" s="38">
        <f t="shared" si="0"/>
        <v>3456229.1999999997</v>
      </c>
      <c r="E15" s="38">
        <f t="shared" si="1"/>
        <v>3274322.4</v>
      </c>
      <c r="F15" s="38">
        <f t="shared" si="2"/>
        <v>2910508.8000000003</v>
      </c>
    </row>
    <row r="16" spans="1:6" ht="55.95" customHeight="1">
      <c r="A16" s="41" t="s">
        <v>493</v>
      </c>
      <c r="B16" s="35" t="s">
        <v>339</v>
      </c>
      <c r="C16" s="49">
        <f>6487.6*Оглавление!H29</f>
        <v>3600618</v>
      </c>
      <c r="D16" s="38">
        <f t="shared" si="0"/>
        <v>3420587.0999999996</v>
      </c>
      <c r="E16" s="38">
        <f t="shared" si="1"/>
        <v>3240556.2</v>
      </c>
      <c r="F16" s="38">
        <f t="shared" si="2"/>
        <v>2880494.4000000004</v>
      </c>
    </row>
    <row r="17" spans="1:6" ht="69" customHeight="1">
      <c r="A17" s="41" t="s">
        <v>494</v>
      </c>
      <c r="B17" s="35" t="s">
        <v>405</v>
      </c>
      <c r="C17" s="38">
        <f>6636.56*Оглавление!H29</f>
        <v>3683290.8000000003</v>
      </c>
      <c r="D17" s="38">
        <f t="shared" si="0"/>
        <v>3499126.2600000002</v>
      </c>
      <c r="E17" s="38">
        <f t="shared" si="1"/>
        <v>3314961.72</v>
      </c>
      <c r="F17" s="38">
        <f t="shared" si="2"/>
        <v>2946632.6400000006</v>
      </c>
    </row>
    <row r="18" spans="1:6" ht="21" customHeight="1">
      <c r="A18" s="41" t="s">
        <v>495</v>
      </c>
      <c r="B18" s="35" t="s">
        <v>352</v>
      </c>
      <c r="C18" s="38">
        <f>6688.5*Оглавление!H29</f>
        <v>3712117.5</v>
      </c>
      <c r="D18" s="38">
        <f t="shared" si="0"/>
        <v>3526511.625</v>
      </c>
      <c r="E18" s="38">
        <f t="shared" si="1"/>
        <v>3340905.75</v>
      </c>
      <c r="F18" s="38">
        <f t="shared" si="2"/>
        <v>2969694</v>
      </c>
    </row>
    <row r="19" spans="1:6" ht="28.95" customHeight="1">
      <c r="A19" s="41" t="s">
        <v>496</v>
      </c>
      <c r="B19" s="35" t="s">
        <v>353</v>
      </c>
      <c r="C19" s="38">
        <f>7928.2*Оглавление!H29</f>
        <v>4400151</v>
      </c>
      <c r="D19" s="38">
        <f t="shared" si="0"/>
        <v>4180143.4499999997</v>
      </c>
      <c r="E19" s="38">
        <f t="shared" si="1"/>
        <v>3960135.9</v>
      </c>
      <c r="F19" s="38">
        <f t="shared" si="2"/>
        <v>3520120.8000000003</v>
      </c>
    </row>
    <row r="20" spans="1:6" ht="30.6" customHeight="1">
      <c r="A20" s="41" t="s">
        <v>566</v>
      </c>
      <c r="B20" s="35" t="s">
        <v>371</v>
      </c>
      <c r="C20" s="38">
        <f>5541.9*Оглавление!H29</f>
        <v>3075754.5</v>
      </c>
      <c r="D20" s="38">
        <f t="shared" si="0"/>
        <v>2921966.7749999999</v>
      </c>
      <c r="E20" s="38">
        <f t="shared" si="1"/>
        <v>2768179.0500000003</v>
      </c>
      <c r="F20" s="38">
        <f t="shared" si="2"/>
        <v>2460603.6</v>
      </c>
    </row>
    <row r="21" spans="1:6" ht="56.4" customHeight="1">
      <c r="A21" s="41" t="s">
        <v>483</v>
      </c>
      <c r="B21" s="35" t="s">
        <v>372</v>
      </c>
      <c r="C21" s="38">
        <f>8570.1*Оглавление!H29</f>
        <v>4756405.5</v>
      </c>
      <c r="D21" s="38">
        <f t="shared" si="0"/>
        <v>4518585.2249999996</v>
      </c>
      <c r="E21" s="38">
        <f t="shared" si="1"/>
        <v>4280764.95</v>
      </c>
      <c r="F21" s="38">
        <f t="shared" si="2"/>
        <v>3805124.4000000004</v>
      </c>
    </row>
    <row r="22" spans="1:6" ht="66.599999999999994" customHeight="1">
      <c r="A22" s="41" t="s">
        <v>437</v>
      </c>
      <c r="B22" s="35" t="s">
        <v>373</v>
      </c>
      <c r="C22" s="38">
        <f>2627.38*Оглавление!H29</f>
        <v>1458195.9000000001</v>
      </c>
      <c r="D22" s="38">
        <f t="shared" si="0"/>
        <v>1385286.105</v>
      </c>
      <c r="E22" s="38">
        <f t="shared" si="1"/>
        <v>1312376.31</v>
      </c>
      <c r="F22" s="38">
        <f t="shared" si="2"/>
        <v>1166556.7200000002</v>
      </c>
    </row>
    <row r="23" spans="1:6" ht="51.6" customHeight="1">
      <c r="A23" s="41" t="s">
        <v>567</v>
      </c>
      <c r="B23" s="35" t="s">
        <v>374</v>
      </c>
      <c r="C23" s="38">
        <f>1200.5*Оглавление!H29</f>
        <v>666277.5</v>
      </c>
      <c r="D23" s="38">
        <f t="shared" si="0"/>
        <v>632963.625</v>
      </c>
      <c r="E23" s="38">
        <f t="shared" si="1"/>
        <v>599649.75</v>
      </c>
      <c r="F23" s="38">
        <f t="shared" si="2"/>
        <v>533022</v>
      </c>
    </row>
    <row r="24" spans="1:6" ht="45" customHeight="1">
      <c r="A24" s="41" t="s">
        <v>568</v>
      </c>
      <c r="B24" s="35" t="s">
        <v>375</v>
      </c>
      <c r="C24" s="38">
        <f>1364.16*Оглавление!H29</f>
        <v>757108.8</v>
      </c>
      <c r="D24" s="38">
        <f t="shared" si="0"/>
        <v>719253.36</v>
      </c>
      <c r="E24" s="38">
        <f t="shared" si="1"/>
        <v>681397.92</v>
      </c>
      <c r="F24" s="38">
        <f t="shared" si="2"/>
        <v>605687.04000000004</v>
      </c>
    </row>
    <row r="25" spans="1:6" ht="21.6" customHeight="1">
      <c r="A25" s="41" t="s">
        <v>569</v>
      </c>
      <c r="B25" s="35" t="s">
        <v>294</v>
      </c>
      <c r="C25" s="49">
        <f>3248.7*Оглавление!H29</f>
        <v>1803028.5</v>
      </c>
      <c r="D25" s="38">
        <f t="shared" si="0"/>
        <v>1712877.075</v>
      </c>
      <c r="E25" s="38">
        <f t="shared" si="1"/>
        <v>1622725.6500000001</v>
      </c>
      <c r="F25" s="38">
        <f t="shared" si="2"/>
        <v>1442422.8</v>
      </c>
    </row>
    <row r="26" spans="1:6" ht="25.95" customHeight="1">
      <c r="A26" s="41" t="s">
        <v>570</v>
      </c>
      <c r="B26" s="35" t="s">
        <v>295</v>
      </c>
      <c r="C26" s="49">
        <f>4552.1*Оглавление!H29</f>
        <v>2526415.5</v>
      </c>
      <c r="D26" s="38">
        <f t="shared" si="0"/>
        <v>2400094.7250000001</v>
      </c>
      <c r="E26" s="38">
        <f t="shared" si="1"/>
        <v>2273773.9500000002</v>
      </c>
      <c r="F26" s="38">
        <f t="shared" si="2"/>
        <v>2021132.4000000001</v>
      </c>
    </row>
    <row r="27" spans="1:6">
      <c r="A27" s="102" t="s">
        <v>14</v>
      </c>
      <c r="B27" s="102"/>
      <c r="C27" s="48"/>
      <c r="D27" s="38"/>
      <c r="E27" s="38"/>
      <c r="F27" s="38"/>
    </row>
    <row r="28" spans="1:6" ht="32.4" customHeight="1">
      <c r="A28" s="41" t="s">
        <v>414</v>
      </c>
      <c r="B28" s="37" t="s">
        <v>296</v>
      </c>
      <c r="C28" s="49">
        <f>101.37*Оглавление!H29</f>
        <v>56260.350000000006</v>
      </c>
      <c r="D28" s="38">
        <f t="shared" si="0"/>
        <v>53447.332500000004</v>
      </c>
      <c r="E28" s="38">
        <f t="shared" si="1"/>
        <v>50634.31500000001</v>
      </c>
      <c r="F28" s="38">
        <f t="shared" si="2"/>
        <v>45008.280000000006</v>
      </c>
    </row>
    <row r="29" spans="1:6" ht="49.2" customHeight="1">
      <c r="A29" s="41" t="s">
        <v>459</v>
      </c>
      <c r="B29" s="35" t="s">
        <v>297</v>
      </c>
      <c r="C29" s="49">
        <f>121*Оглавление!H29</f>
        <v>67155</v>
      </c>
      <c r="D29" s="38">
        <f t="shared" si="0"/>
        <v>63797.25</v>
      </c>
      <c r="E29" s="38">
        <f t="shared" si="1"/>
        <v>60439.5</v>
      </c>
      <c r="F29" s="38">
        <f t="shared" si="2"/>
        <v>53724</v>
      </c>
    </row>
    <row r="30" spans="1:6" ht="45.6" customHeight="1">
      <c r="A30" s="41" t="s">
        <v>571</v>
      </c>
      <c r="B30" s="35" t="s">
        <v>298</v>
      </c>
      <c r="C30" s="49">
        <f>127*Оглавление!H29</f>
        <v>70485</v>
      </c>
      <c r="D30" s="38">
        <f t="shared" si="0"/>
        <v>66960.75</v>
      </c>
      <c r="E30" s="38">
        <f t="shared" si="1"/>
        <v>63436.5</v>
      </c>
      <c r="F30" s="38">
        <f t="shared" si="2"/>
        <v>56388</v>
      </c>
    </row>
    <row r="31" spans="1:6" ht="51.6" customHeight="1">
      <c r="A31" s="41" t="s">
        <v>423</v>
      </c>
      <c r="B31" s="35" t="s">
        <v>299</v>
      </c>
      <c r="C31" s="49">
        <f>145*Оглавление!H29</f>
        <v>80475</v>
      </c>
      <c r="D31" s="38">
        <f t="shared" si="0"/>
        <v>76451.25</v>
      </c>
      <c r="E31" s="38">
        <f t="shared" si="1"/>
        <v>72427.5</v>
      </c>
      <c r="F31" s="38">
        <f t="shared" si="2"/>
        <v>64380</v>
      </c>
    </row>
    <row r="32" spans="1:6" ht="35.4" customHeight="1">
      <c r="A32" s="41" t="s">
        <v>556</v>
      </c>
      <c r="B32" s="35" t="s">
        <v>300</v>
      </c>
      <c r="C32" s="49">
        <f>204*Оглавление!H29</f>
        <v>113220</v>
      </c>
      <c r="D32" s="38">
        <f t="shared" si="0"/>
        <v>107559</v>
      </c>
      <c r="E32" s="38">
        <f t="shared" si="1"/>
        <v>101898</v>
      </c>
      <c r="F32" s="38">
        <f t="shared" si="2"/>
        <v>90576</v>
      </c>
    </row>
    <row r="33" spans="1:6" ht="48.6" customHeight="1">
      <c r="A33" s="41" t="s">
        <v>561</v>
      </c>
      <c r="B33" s="35" t="s">
        <v>301</v>
      </c>
      <c r="C33" s="49">
        <f>270*Оглавление!H29</f>
        <v>149850</v>
      </c>
      <c r="D33" s="38">
        <f t="shared" si="0"/>
        <v>142357.5</v>
      </c>
      <c r="E33" s="38">
        <f t="shared" si="1"/>
        <v>134865</v>
      </c>
      <c r="F33" s="38">
        <f t="shared" si="2"/>
        <v>119880</v>
      </c>
    </row>
    <row r="34" spans="1:6" ht="22.95" customHeight="1">
      <c r="A34" s="41" t="s">
        <v>497</v>
      </c>
      <c r="B34" s="35" t="s">
        <v>388</v>
      </c>
      <c r="C34" s="49">
        <f>329*Оглавление!H29</f>
        <v>182595</v>
      </c>
      <c r="D34" s="38">
        <f t="shared" si="0"/>
        <v>173465.25</v>
      </c>
      <c r="E34" s="38">
        <f t="shared" si="1"/>
        <v>164335.5</v>
      </c>
      <c r="F34" s="38">
        <f t="shared" si="2"/>
        <v>146076</v>
      </c>
    </row>
    <row r="35" spans="1:6" ht="28.2" customHeight="1">
      <c r="A35" s="41" t="s">
        <v>498</v>
      </c>
      <c r="B35" s="35" t="s">
        <v>389</v>
      </c>
      <c r="C35" s="49">
        <f>276*Оглавление!H29</f>
        <v>153180</v>
      </c>
      <c r="D35" s="38">
        <f t="shared" si="0"/>
        <v>145521</v>
      </c>
      <c r="E35" s="38">
        <f t="shared" si="1"/>
        <v>137862</v>
      </c>
      <c r="F35" s="38">
        <f t="shared" si="2"/>
        <v>122544</v>
      </c>
    </row>
    <row r="36" spans="1:6" ht="31.2" customHeight="1">
      <c r="A36" s="41" t="s">
        <v>499</v>
      </c>
      <c r="B36" s="35" t="s">
        <v>398</v>
      </c>
      <c r="C36" s="49">
        <f>329*Оглавление!H29</f>
        <v>182595</v>
      </c>
      <c r="D36" s="38">
        <f t="shared" si="0"/>
        <v>173465.25</v>
      </c>
      <c r="E36" s="38">
        <f t="shared" si="1"/>
        <v>164335.5</v>
      </c>
      <c r="F36" s="38">
        <f t="shared" si="2"/>
        <v>146076</v>
      </c>
    </row>
    <row r="37" spans="1:6" ht="27" customHeight="1">
      <c r="A37" s="41" t="s">
        <v>502</v>
      </c>
      <c r="B37" s="35" t="s">
        <v>390</v>
      </c>
      <c r="C37" s="49">
        <f>194*Оглавление!H29</f>
        <v>107670</v>
      </c>
      <c r="D37" s="38">
        <f t="shared" si="0"/>
        <v>102286.5</v>
      </c>
      <c r="E37" s="38">
        <f t="shared" si="1"/>
        <v>96903</v>
      </c>
      <c r="F37" s="38">
        <f t="shared" si="2"/>
        <v>86136</v>
      </c>
    </row>
    <row r="38" spans="1:6" ht="32.4" customHeight="1">
      <c r="A38" s="41" t="s">
        <v>503</v>
      </c>
      <c r="B38" s="35" t="s">
        <v>391</v>
      </c>
      <c r="C38" s="49">
        <f>533*Оглавление!H29</f>
        <v>295815</v>
      </c>
      <c r="D38" s="38">
        <f t="shared" si="0"/>
        <v>281024.25</v>
      </c>
      <c r="E38" s="38">
        <f t="shared" si="1"/>
        <v>266233.5</v>
      </c>
      <c r="F38" s="38">
        <f t="shared" si="2"/>
        <v>236652</v>
      </c>
    </row>
    <row r="39" spans="1:6" ht="30" customHeight="1">
      <c r="A39" s="41" t="s">
        <v>501</v>
      </c>
      <c r="B39" s="35" t="s">
        <v>392</v>
      </c>
      <c r="C39" s="49">
        <f>278*Оглавление!H29</f>
        <v>154290</v>
      </c>
      <c r="D39" s="38">
        <f t="shared" si="0"/>
        <v>146575.5</v>
      </c>
      <c r="E39" s="38">
        <f t="shared" si="1"/>
        <v>138861</v>
      </c>
      <c r="F39" s="38">
        <f t="shared" si="2"/>
        <v>123432</v>
      </c>
    </row>
    <row r="40" spans="1:6" ht="37.950000000000003" customHeight="1">
      <c r="A40" s="41" t="s">
        <v>500</v>
      </c>
      <c r="B40" s="35" t="s">
        <v>393</v>
      </c>
      <c r="C40" s="49">
        <f>316*Оглавление!H29</f>
        <v>175380</v>
      </c>
      <c r="D40" s="38">
        <f t="shared" si="0"/>
        <v>166611</v>
      </c>
      <c r="E40" s="38">
        <f t="shared" si="1"/>
        <v>157842</v>
      </c>
      <c r="F40" s="38">
        <f t="shared" si="2"/>
        <v>140304</v>
      </c>
    </row>
    <row r="41" spans="1:6" ht="37.950000000000003" customHeight="1">
      <c r="A41" s="41" t="s">
        <v>572</v>
      </c>
      <c r="B41" s="35" t="s">
        <v>302</v>
      </c>
      <c r="C41" s="49">
        <f>207.9*Оглавление!H29</f>
        <v>115384.5</v>
      </c>
      <c r="D41" s="38">
        <f t="shared" si="0"/>
        <v>109615.27499999999</v>
      </c>
      <c r="E41" s="38">
        <f t="shared" si="1"/>
        <v>103846.05</v>
      </c>
      <c r="F41" s="38">
        <f t="shared" si="2"/>
        <v>92307.6</v>
      </c>
    </row>
    <row r="42" spans="1:6" ht="54.6" customHeight="1">
      <c r="A42" s="41" t="s">
        <v>573</v>
      </c>
      <c r="B42" s="35" t="s">
        <v>303</v>
      </c>
      <c r="C42" s="49">
        <f>295.05*Оглавление!H29</f>
        <v>163752.75</v>
      </c>
      <c r="D42" s="38">
        <f t="shared" si="0"/>
        <v>155565.11249999999</v>
      </c>
      <c r="E42" s="38">
        <f t="shared" si="1"/>
        <v>147377.47500000001</v>
      </c>
      <c r="F42" s="38">
        <f t="shared" si="2"/>
        <v>131002.20000000001</v>
      </c>
    </row>
    <row r="43" spans="1:6" ht="46.2" customHeight="1">
      <c r="A43" s="41" t="s">
        <v>444</v>
      </c>
      <c r="B43" s="35" t="s">
        <v>394</v>
      </c>
      <c r="C43" s="49">
        <f>250*Оглавление!H29</f>
        <v>138750</v>
      </c>
      <c r="D43" s="38">
        <f t="shared" si="0"/>
        <v>131812.5</v>
      </c>
      <c r="E43" s="38">
        <f t="shared" si="1"/>
        <v>124875</v>
      </c>
      <c r="F43" s="38">
        <f t="shared" si="2"/>
        <v>111000</v>
      </c>
    </row>
    <row r="44" spans="1:6" ht="50.4" customHeight="1">
      <c r="A44" s="41" t="s">
        <v>574</v>
      </c>
      <c r="B44" s="35" t="s">
        <v>395</v>
      </c>
      <c r="C44" s="49">
        <f>355.95*Оглавление!H29</f>
        <v>197552.25</v>
      </c>
      <c r="D44" s="38">
        <f t="shared" si="0"/>
        <v>187674.63749999998</v>
      </c>
      <c r="E44" s="38">
        <f t="shared" si="1"/>
        <v>177797.02499999999</v>
      </c>
      <c r="F44" s="38">
        <f t="shared" si="2"/>
        <v>158041.80000000002</v>
      </c>
    </row>
    <row r="45" spans="1:6" ht="48" customHeight="1">
      <c r="A45" s="41" t="s">
        <v>486</v>
      </c>
      <c r="B45" s="35" t="s">
        <v>304</v>
      </c>
      <c r="C45" s="49">
        <f>2514.2*Оглавление!H29</f>
        <v>1395381</v>
      </c>
      <c r="D45" s="38">
        <f t="shared" si="0"/>
        <v>1325611.95</v>
      </c>
      <c r="E45" s="38">
        <f t="shared" si="1"/>
        <v>1255842.9000000001</v>
      </c>
      <c r="F45" s="38">
        <f t="shared" si="2"/>
        <v>1116304.8</v>
      </c>
    </row>
    <row r="46" spans="1:6" ht="43.2" customHeight="1">
      <c r="A46" s="41" t="s">
        <v>489</v>
      </c>
      <c r="B46" s="35" t="s">
        <v>198</v>
      </c>
      <c r="C46" s="49">
        <f>283.5*Оглавление!H29</f>
        <v>157342.5</v>
      </c>
      <c r="D46" s="38">
        <f t="shared" si="0"/>
        <v>149475.375</v>
      </c>
      <c r="E46" s="38">
        <f t="shared" si="1"/>
        <v>141608.25</v>
      </c>
      <c r="F46" s="38">
        <f t="shared" si="2"/>
        <v>125874</v>
      </c>
    </row>
    <row r="47" spans="1:6" ht="49.95" customHeight="1">
      <c r="A47" s="41" t="s">
        <v>560</v>
      </c>
      <c r="B47" s="35" t="s">
        <v>305</v>
      </c>
      <c r="C47" s="49">
        <f>263*Оглавление!H29</f>
        <v>145965</v>
      </c>
      <c r="D47" s="38">
        <f t="shared" si="0"/>
        <v>138666.75</v>
      </c>
      <c r="E47" s="38">
        <f t="shared" si="1"/>
        <v>131368.5</v>
      </c>
      <c r="F47" s="38">
        <f t="shared" si="2"/>
        <v>116772</v>
      </c>
    </row>
    <row r="48" spans="1:6" ht="36" customHeight="1">
      <c r="A48" s="41" t="s">
        <v>563</v>
      </c>
      <c r="B48" s="35" t="s">
        <v>306</v>
      </c>
      <c r="C48" s="49">
        <f>278*Оглавление!H29</f>
        <v>154290</v>
      </c>
      <c r="D48" s="38">
        <f t="shared" si="0"/>
        <v>146575.5</v>
      </c>
      <c r="E48" s="38">
        <f t="shared" si="1"/>
        <v>138861</v>
      </c>
      <c r="F48" s="38">
        <f t="shared" si="2"/>
        <v>123432</v>
      </c>
    </row>
    <row r="49" spans="1:6" ht="54" customHeight="1">
      <c r="A49" s="41" t="s">
        <v>420</v>
      </c>
      <c r="B49" s="35" t="s">
        <v>307</v>
      </c>
      <c r="C49" s="49">
        <f>61*Оглавление!H29</f>
        <v>33855</v>
      </c>
      <c r="D49" s="38">
        <f t="shared" si="0"/>
        <v>32162.25</v>
      </c>
      <c r="E49" s="38">
        <f t="shared" si="1"/>
        <v>30469.5</v>
      </c>
      <c r="F49" s="38">
        <f t="shared" si="2"/>
        <v>27084</v>
      </c>
    </row>
    <row r="50" spans="1:6" ht="48.6" customHeight="1">
      <c r="A50" s="41" t="s">
        <v>421</v>
      </c>
      <c r="B50" s="35" t="s">
        <v>308</v>
      </c>
      <c r="C50" s="49">
        <f>35.25*Оглавление!H29</f>
        <v>19563.75</v>
      </c>
      <c r="D50" s="38">
        <f t="shared" si="0"/>
        <v>18585.5625</v>
      </c>
      <c r="E50" s="38">
        <f t="shared" si="1"/>
        <v>17607.375</v>
      </c>
      <c r="F50" s="38">
        <f t="shared" si="2"/>
        <v>15651</v>
      </c>
    </row>
    <row r="51" spans="1:6" ht="51" customHeight="1">
      <c r="A51" s="41" t="s">
        <v>555</v>
      </c>
      <c r="B51" s="35" t="s">
        <v>309</v>
      </c>
      <c r="C51" s="49">
        <f>27.25*Оглавление!H29</f>
        <v>15123.75</v>
      </c>
      <c r="D51" s="38">
        <f t="shared" si="0"/>
        <v>14367.5625</v>
      </c>
      <c r="E51" s="38">
        <f t="shared" si="1"/>
        <v>13611.375</v>
      </c>
      <c r="F51" s="38">
        <f t="shared" si="2"/>
        <v>12099</v>
      </c>
    </row>
    <row r="52" spans="1:6" ht="41.4" customHeight="1">
      <c r="A52" s="41" t="s">
        <v>110</v>
      </c>
      <c r="B52" s="35" t="s">
        <v>310</v>
      </c>
      <c r="C52" s="49">
        <f>185*Оглавление!H29</f>
        <v>102675</v>
      </c>
      <c r="D52" s="38">
        <f t="shared" si="0"/>
        <v>97541.25</v>
      </c>
      <c r="E52" s="38">
        <f t="shared" si="1"/>
        <v>92407.5</v>
      </c>
      <c r="F52" s="38">
        <f t="shared" si="2"/>
        <v>82140</v>
      </c>
    </row>
    <row r="53" spans="1:6" ht="52.2" customHeight="1">
      <c r="A53" s="41" t="s">
        <v>415</v>
      </c>
      <c r="B53" s="35" t="s">
        <v>311</v>
      </c>
      <c r="C53" s="49">
        <f>112.53*Оглавление!H29</f>
        <v>62454.15</v>
      </c>
      <c r="D53" s="38">
        <f t="shared" si="0"/>
        <v>59331.442499999997</v>
      </c>
      <c r="E53" s="38">
        <f t="shared" si="1"/>
        <v>56208.735000000001</v>
      </c>
      <c r="F53" s="38">
        <f t="shared" si="2"/>
        <v>49963.320000000007</v>
      </c>
    </row>
    <row r="54" spans="1:6" ht="27.6" customHeight="1">
      <c r="A54" s="41" t="s">
        <v>446</v>
      </c>
      <c r="B54" s="35" t="s">
        <v>312</v>
      </c>
      <c r="C54" s="49">
        <f>55*Оглавление!H29</f>
        <v>30525</v>
      </c>
      <c r="D54" s="38">
        <f t="shared" si="0"/>
        <v>28998.75</v>
      </c>
      <c r="E54" s="38">
        <f t="shared" si="1"/>
        <v>27472.5</v>
      </c>
      <c r="F54" s="38">
        <f t="shared" si="2"/>
        <v>24420</v>
      </c>
    </row>
    <row r="55" spans="1:6">
      <c r="A55" s="102" t="s">
        <v>313</v>
      </c>
      <c r="B55" s="102"/>
      <c r="C55" s="49"/>
      <c r="D55" s="38"/>
      <c r="E55" s="38"/>
      <c r="F55" s="38"/>
    </row>
    <row r="56" spans="1:6" ht="45.6" customHeight="1">
      <c r="A56" s="41" t="s">
        <v>448</v>
      </c>
      <c r="B56" s="35" t="s">
        <v>399</v>
      </c>
      <c r="C56" s="49">
        <f>96*Оглавление!H29</f>
        <v>53280</v>
      </c>
      <c r="D56" s="38">
        <f t="shared" si="0"/>
        <v>50616</v>
      </c>
      <c r="E56" s="38">
        <f t="shared" si="1"/>
        <v>47952</v>
      </c>
      <c r="F56" s="38">
        <f t="shared" si="2"/>
        <v>42624</v>
      </c>
    </row>
    <row r="57" spans="1:6" ht="54.6" customHeight="1">
      <c r="A57" s="41" t="s">
        <v>449</v>
      </c>
      <c r="B57" s="35" t="s">
        <v>400</v>
      </c>
      <c r="C57" s="49">
        <f>96*Оглавление!H29</f>
        <v>53280</v>
      </c>
      <c r="D57" s="38">
        <f t="shared" si="0"/>
        <v>50616</v>
      </c>
      <c r="E57" s="38">
        <f t="shared" si="1"/>
        <v>47952</v>
      </c>
      <c r="F57" s="38">
        <f t="shared" si="2"/>
        <v>42624</v>
      </c>
    </row>
    <row r="58" spans="1:6" ht="86.4" customHeight="1">
      <c r="A58" s="41" t="s">
        <v>450</v>
      </c>
      <c r="B58" s="35" t="s">
        <v>401</v>
      </c>
      <c r="C58" s="49">
        <f>179*Оглавление!H29</f>
        <v>99345</v>
      </c>
      <c r="D58" s="38">
        <f t="shared" si="0"/>
        <v>94377.75</v>
      </c>
      <c r="E58" s="38">
        <f t="shared" si="1"/>
        <v>89410.5</v>
      </c>
      <c r="F58" s="38">
        <f t="shared" si="2"/>
        <v>79476</v>
      </c>
    </row>
    <row r="59" spans="1:6" ht="56.4" customHeight="1">
      <c r="A59" s="41" t="s">
        <v>451</v>
      </c>
      <c r="B59" s="35" t="s">
        <v>402</v>
      </c>
      <c r="C59" s="49">
        <f>179*Оглавление!H29</f>
        <v>99345</v>
      </c>
      <c r="D59" s="38">
        <f t="shared" si="0"/>
        <v>94377.75</v>
      </c>
      <c r="E59" s="38">
        <f t="shared" si="1"/>
        <v>89410.5</v>
      </c>
      <c r="F59" s="38">
        <f t="shared" si="2"/>
        <v>79476</v>
      </c>
    </row>
    <row r="60" spans="1:6" ht="61.2" customHeight="1">
      <c r="A60" s="41" t="s">
        <v>188</v>
      </c>
      <c r="B60" s="35" t="s">
        <v>403</v>
      </c>
      <c r="C60" s="49">
        <f>76*Оглавление!H29</f>
        <v>42180</v>
      </c>
      <c r="D60" s="38">
        <f t="shared" si="0"/>
        <v>40071</v>
      </c>
      <c r="E60" s="38">
        <f t="shared" si="1"/>
        <v>37962</v>
      </c>
      <c r="F60" s="38">
        <f t="shared" si="2"/>
        <v>33744</v>
      </c>
    </row>
    <row r="61" spans="1:6" ht="73.2" customHeight="1">
      <c r="A61" s="41" t="s">
        <v>189</v>
      </c>
      <c r="B61" s="35" t="s">
        <v>404</v>
      </c>
      <c r="C61" s="49">
        <f>179*Оглавление!H29</f>
        <v>99345</v>
      </c>
      <c r="D61" s="38">
        <f t="shared" si="0"/>
        <v>94377.75</v>
      </c>
      <c r="E61" s="38">
        <f t="shared" si="1"/>
        <v>89410.5</v>
      </c>
      <c r="F61" s="38">
        <f t="shared" si="2"/>
        <v>79476</v>
      </c>
    </row>
    <row r="62" spans="1:6" ht="54.6" customHeight="1">
      <c r="A62" s="41" t="s">
        <v>209</v>
      </c>
      <c r="B62" s="35" t="s">
        <v>396</v>
      </c>
      <c r="C62" s="49">
        <f>376*Оглавление!H29</f>
        <v>208680</v>
      </c>
      <c r="D62" s="38">
        <f t="shared" si="0"/>
        <v>198246</v>
      </c>
      <c r="E62" s="38">
        <f t="shared" si="1"/>
        <v>187812</v>
      </c>
      <c r="F62" s="38">
        <f t="shared" si="2"/>
        <v>166944</v>
      </c>
    </row>
    <row r="63" spans="1:6" ht="29.4" customHeight="1">
      <c r="A63" s="41" t="s">
        <v>208</v>
      </c>
      <c r="B63" s="35" t="s">
        <v>397</v>
      </c>
      <c r="C63" s="49">
        <f>227*Оглавление!H29</f>
        <v>125985</v>
      </c>
      <c r="D63" s="38">
        <f t="shared" si="0"/>
        <v>119685.75</v>
      </c>
      <c r="E63" s="38">
        <f t="shared" si="1"/>
        <v>113386.5</v>
      </c>
      <c r="F63" s="38">
        <f t="shared" si="2"/>
        <v>100788</v>
      </c>
    </row>
    <row r="64" spans="1:6">
      <c r="A64" s="102" t="s">
        <v>314</v>
      </c>
      <c r="B64" s="102"/>
      <c r="C64" s="49"/>
      <c r="D64" s="38">
        <f t="shared" si="0"/>
        <v>0</v>
      </c>
      <c r="E64" s="38">
        <f t="shared" si="1"/>
        <v>0</v>
      </c>
      <c r="F64" s="38">
        <f t="shared" si="2"/>
        <v>0</v>
      </c>
    </row>
    <row r="65" spans="1:6" ht="17.399999999999999" customHeight="1">
      <c r="A65" s="41" t="s">
        <v>429</v>
      </c>
      <c r="B65" s="35" t="s">
        <v>91</v>
      </c>
      <c r="C65" s="49">
        <f>252*Оглавление!H29</f>
        <v>139860</v>
      </c>
      <c r="D65" s="38">
        <f t="shared" si="0"/>
        <v>132867</v>
      </c>
      <c r="E65" s="38">
        <f t="shared" si="1"/>
        <v>125874</v>
      </c>
      <c r="F65" s="38">
        <f t="shared" si="2"/>
        <v>111888</v>
      </c>
    </row>
    <row r="66" spans="1:6" ht="14.4" customHeight="1">
      <c r="A66" s="41" t="s">
        <v>430</v>
      </c>
      <c r="B66" s="35" t="s">
        <v>92</v>
      </c>
      <c r="C66" s="49">
        <f>252*Оглавление!H29</f>
        <v>139860</v>
      </c>
      <c r="D66" s="38">
        <f t="shared" si="0"/>
        <v>132867</v>
      </c>
      <c r="E66" s="38">
        <f t="shared" si="1"/>
        <v>125874</v>
      </c>
      <c r="F66" s="38">
        <f t="shared" si="2"/>
        <v>111888</v>
      </c>
    </row>
    <row r="67" spans="1:6">
      <c r="A67" s="102" t="s">
        <v>315</v>
      </c>
      <c r="B67" s="102"/>
      <c r="C67" s="49"/>
      <c r="D67" s="38"/>
      <c r="E67" s="38"/>
      <c r="F67" s="38"/>
    </row>
    <row r="68" spans="1:6" ht="25.2" customHeight="1">
      <c r="A68" s="41" t="s">
        <v>424</v>
      </c>
      <c r="B68" s="35" t="s">
        <v>316</v>
      </c>
      <c r="C68" s="49">
        <f>91*Оглавление!H29</f>
        <v>50505</v>
      </c>
      <c r="D68" s="38">
        <f t="shared" si="0"/>
        <v>47979.75</v>
      </c>
      <c r="E68" s="38">
        <f t="shared" si="1"/>
        <v>45454.5</v>
      </c>
      <c r="F68" s="38">
        <f t="shared" si="2"/>
        <v>40404</v>
      </c>
    </row>
    <row r="69" spans="1:6" ht="42" customHeight="1">
      <c r="A69" s="41" t="s">
        <v>505</v>
      </c>
      <c r="B69" s="35" t="s">
        <v>317</v>
      </c>
      <c r="C69" s="49">
        <f>87*Оглавление!H29</f>
        <v>48285</v>
      </c>
      <c r="D69" s="38">
        <f t="shared" si="0"/>
        <v>45870.75</v>
      </c>
      <c r="E69" s="38">
        <f t="shared" si="1"/>
        <v>43456.5</v>
      </c>
      <c r="F69" s="38">
        <f t="shared" si="2"/>
        <v>38628</v>
      </c>
    </row>
    <row r="70" spans="1:6" ht="60.6" customHeight="1">
      <c r="A70" s="41" t="s">
        <v>541</v>
      </c>
      <c r="B70" s="35" t="s">
        <v>318</v>
      </c>
      <c r="C70" s="49">
        <f>104*Оглавление!H29</f>
        <v>57720</v>
      </c>
      <c r="D70" s="38">
        <f t="shared" si="0"/>
        <v>54834</v>
      </c>
      <c r="E70" s="38">
        <f t="shared" si="1"/>
        <v>51948</v>
      </c>
      <c r="F70" s="38">
        <f t="shared" si="2"/>
        <v>46176</v>
      </c>
    </row>
    <row r="71" spans="1:6" ht="30.6" customHeight="1">
      <c r="A71" s="41" t="s">
        <v>425</v>
      </c>
      <c r="B71" s="35" t="s">
        <v>319</v>
      </c>
      <c r="C71" s="49">
        <f>36.5*Оглавление!H29</f>
        <v>20257.5</v>
      </c>
      <c r="D71" s="38">
        <f t="shared" si="0"/>
        <v>19244.625</v>
      </c>
      <c r="E71" s="38">
        <f t="shared" si="1"/>
        <v>18231.75</v>
      </c>
      <c r="F71" s="38">
        <f t="shared" si="2"/>
        <v>16206</v>
      </c>
    </row>
    <row r="72" spans="1:6" ht="22.2" customHeight="1">
      <c r="A72" s="41" t="s">
        <v>506</v>
      </c>
      <c r="B72" s="35" t="s">
        <v>320</v>
      </c>
      <c r="C72" s="49">
        <f>66.25*Оглавление!H29</f>
        <v>36768.75</v>
      </c>
      <c r="D72" s="38">
        <f t="shared" ref="D72:D94" si="3">C72*0.95</f>
        <v>34930.3125</v>
      </c>
      <c r="E72" s="38">
        <f t="shared" ref="E72:E94" si="4">C72*0.9</f>
        <v>33091.875</v>
      </c>
      <c r="F72" s="38">
        <f t="shared" ref="F72:F94" si="5">C72*0.8</f>
        <v>29415</v>
      </c>
    </row>
    <row r="73" spans="1:6" ht="48.6" customHeight="1">
      <c r="A73" s="41" t="s">
        <v>426</v>
      </c>
      <c r="B73" s="35" t="s">
        <v>321</v>
      </c>
      <c r="C73" s="49">
        <f>74*Оглавление!H29</f>
        <v>41070</v>
      </c>
      <c r="D73" s="38">
        <f t="shared" si="3"/>
        <v>39016.5</v>
      </c>
      <c r="E73" s="38">
        <f t="shared" si="4"/>
        <v>36963</v>
      </c>
      <c r="F73" s="38">
        <f t="shared" si="5"/>
        <v>32856</v>
      </c>
    </row>
    <row r="74" spans="1:6" ht="30.6" customHeight="1">
      <c r="A74" s="41" t="s">
        <v>428</v>
      </c>
      <c r="B74" s="35" t="s">
        <v>322</v>
      </c>
      <c r="C74" s="49">
        <f>884*Оглавление!H29</f>
        <v>490620</v>
      </c>
      <c r="D74" s="38">
        <f t="shared" si="3"/>
        <v>466089</v>
      </c>
      <c r="E74" s="38">
        <f t="shared" si="4"/>
        <v>441558</v>
      </c>
      <c r="F74" s="38">
        <f t="shared" si="5"/>
        <v>392496</v>
      </c>
    </row>
    <row r="75" spans="1:6" ht="46.2" customHeight="1">
      <c r="A75" s="41" t="s">
        <v>541</v>
      </c>
      <c r="B75" s="35" t="s">
        <v>593</v>
      </c>
      <c r="C75" s="49">
        <f>104*Оглавление!H29</f>
        <v>57720</v>
      </c>
      <c r="D75" s="38">
        <f t="shared" si="3"/>
        <v>54834</v>
      </c>
      <c r="E75" s="38">
        <f t="shared" si="4"/>
        <v>51948</v>
      </c>
      <c r="F75" s="38">
        <f t="shared" si="5"/>
        <v>46176</v>
      </c>
    </row>
    <row r="76" spans="1:6" ht="33" customHeight="1">
      <c r="A76" s="41" t="s">
        <v>507</v>
      </c>
      <c r="B76" s="35" t="s">
        <v>323</v>
      </c>
      <c r="C76" s="49">
        <f>41*Оглавление!H29</f>
        <v>22755</v>
      </c>
      <c r="D76" s="38">
        <f t="shared" si="3"/>
        <v>21617.25</v>
      </c>
      <c r="E76" s="38">
        <f t="shared" si="4"/>
        <v>20479.5</v>
      </c>
      <c r="F76" s="38">
        <f t="shared" si="5"/>
        <v>18204</v>
      </c>
    </row>
    <row r="77" spans="1:6" ht="30.6" customHeight="1">
      <c r="A77" s="41" t="s">
        <v>427</v>
      </c>
      <c r="B77" s="35" t="s">
        <v>324</v>
      </c>
      <c r="C77" s="49">
        <f>60*Оглавление!H29</f>
        <v>33300</v>
      </c>
      <c r="D77" s="38">
        <f t="shared" si="3"/>
        <v>31635</v>
      </c>
      <c r="E77" s="38">
        <f t="shared" si="4"/>
        <v>29970</v>
      </c>
      <c r="F77" s="38">
        <f t="shared" si="5"/>
        <v>26640</v>
      </c>
    </row>
    <row r="78" spans="1:6" ht="45" customHeight="1">
      <c r="A78" s="41" t="s">
        <v>575</v>
      </c>
      <c r="B78" s="35" t="s">
        <v>325</v>
      </c>
      <c r="C78" s="49">
        <f>1061*Оглавление!H29</f>
        <v>588855</v>
      </c>
      <c r="D78" s="38">
        <f t="shared" si="3"/>
        <v>559412.25</v>
      </c>
      <c r="E78" s="38">
        <f t="shared" si="4"/>
        <v>529969.5</v>
      </c>
      <c r="F78" s="38">
        <f t="shared" si="5"/>
        <v>471084</v>
      </c>
    </row>
    <row r="79" spans="1:6" ht="46.2" customHeight="1">
      <c r="A79" s="41" t="s">
        <v>508</v>
      </c>
      <c r="B79" s="35" t="s">
        <v>326</v>
      </c>
      <c r="C79" s="49">
        <f>994*Оглавление!H29</f>
        <v>551670</v>
      </c>
      <c r="D79" s="38">
        <f t="shared" si="3"/>
        <v>524086.5</v>
      </c>
      <c r="E79" s="38">
        <f t="shared" si="4"/>
        <v>496503</v>
      </c>
      <c r="F79" s="38">
        <f t="shared" si="5"/>
        <v>441336</v>
      </c>
    </row>
    <row r="80" spans="1:6">
      <c r="A80" s="102" t="s">
        <v>327</v>
      </c>
      <c r="B80" s="102"/>
      <c r="C80" s="49"/>
      <c r="D80" s="38"/>
      <c r="E80" s="38"/>
      <c r="F80" s="38"/>
    </row>
    <row r="81" spans="1:6" ht="18.600000000000001" customHeight="1">
      <c r="A81" s="41" t="s">
        <v>432</v>
      </c>
      <c r="B81" s="35" t="s">
        <v>94</v>
      </c>
      <c r="C81" s="49">
        <f>83*Оглавление!H29</f>
        <v>46065</v>
      </c>
      <c r="D81" s="38">
        <f t="shared" si="3"/>
        <v>43761.75</v>
      </c>
      <c r="E81" s="38">
        <f t="shared" si="4"/>
        <v>41458.5</v>
      </c>
      <c r="F81" s="38">
        <f t="shared" si="5"/>
        <v>36852</v>
      </c>
    </row>
    <row r="82" spans="1:6" ht="21" customHeight="1">
      <c r="A82" s="41" t="s">
        <v>431</v>
      </c>
      <c r="B82" s="35" t="s">
        <v>93</v>
      </c>
      <c r="C82" s="49">
        <f>151.25*Оглавление!H29</f>
        <v>83943.75</v>
      </c>
      <c r="D82" s="38">
        <f t="shared" si="3"/>
        <v>79746.5625</v>
      </c>
      <c r="E82" s="38">
        <f t="shared" si="4"/>
        <v>75549.375</v>
      </c>
      <c r="F82" s="38">
        <f t="shared" si="5"/>
        <v>67155</v>
      </c>
    </row>
    <row r="83" spans="1:6">
      <c r="A83" s="102" t="s">
        <v>336</v>
      </c>
      <c r="B83" s="102"/>
      <c r="C83" s="49"/>
      <c r="D83" s="38"/>
      <c r="E83" s="38"/>
      <c r="F83" s="38"/>
    </row>
    <row r="84" spans="1:6" ht="15" customHeight="1">
      <c r="A84" s="41" t="s">
        <v>548</v>
      </c>
      <c r="B84" s="35" t="s">
        <v>281</v>
      </c>
      <c r="C84" s="49">
        <f>651.93*Оглавление!H29</f>
        <v>361821.14999999997</v>
      </c>
      <c r="D84" s="38">
        <f t="shared" si="3"/>
        <v>343730.09249999997</v>
      </c>
      <c r="E84" s="38">
        <f t="shared" si="4"/>
        <v>325639.03499999997</v>
      </c>
      <c r="F84" s="38">
        <f t="shared" si="5"/>
        <v>289456.92</v>
      </c>
    </row>
    <row r="85" spans="1:6" ht="15.6" customHeight="1">
      <c r="A85" s="41" t="s">
        <v>549</v>
      </c>
      <c r="B85" s="35" t="s">
        <v>282</v>
      </c>
      <c r="C85" s="49">
        <f>1628.43*Оглавление!H29</f>
        <v>903778.65</v>
      </c>
      <c r="D85" s="38">
        <f t="shared" si="3"/>
        <v>858589.71750000003</v>
      </c>
      <c r="E85" s="38">
        <f t="shared" si="4"/>
        <v>813400.78500000003</v>
      </c>
      <c r="F85" s="38">
        <f t="shared" si="5"/>
        <v>723022.92</v>
      </c>
    </row>
    <row r="86" spans="1:6" ht="20.399999999999999" customHeight="1">
      <c r="A86" s="41" t="s">
        <v>550</v>
      </c>
      <c r="B86" s="35" t="s">
        <v>283</v>
      </c>
      <c r="C86" s="49">
        <f>2822.55*Оглавление!H29</f>
        <v>1566515.25</v>
      </c>
      <c r="D86" s="38">
        <f t="shared" si="3"/>
        <v>1488189.4875</v>
      </c>
      <c r="E86" s="38">
        <f t="shared" si="4"/>
        <v>1409863.7250000001</v>
      </c>
      <c r="F86" s="38">
        <f t="shared" si="5"/>
        <v>1253212.2</v>
      </c>
    </row>
    <row r="87" spans="1:6" ht="18" customHeight="1">
      <c r="A87" s="41" t="s">
        <v>551</v>
      </c>
      <c r="B87" s="35" t="s">
        <v>284</v>
      </c>
      <c r="C87" s="49">
        <f>976.5*Оглавление!H29</f>
        <v>541957.5</v>
      </c>
      <c r="D87" s="38">
        <f t="shared" si="3"/>
        <v>514859.625</v>
      </c>
      <c r="E87" s="38">
        <f t="shared" si="4"/>
        <v>487761.75</v>
      </c>
      <c r="F87" s="38">
        <f t="shared" si="5"/>
        <v>433566</v>
      </c>
    </row>
    <row r="88" spans="1:6" ht="16.95" customHeight="1">
      <c r="A88" s="41" t="s">
        <v>552</v>
      </c>
      <c r="B88" s="35" t="s">
        <v>285</v>
      </c>
      <c r="C88" s="49">
        <f>2170.62*Оглавление!H29</f>
        <v>1204694.0999999999</v>
      </c>
      <c r="D88" s="38">
        <f t="shared" si="3"/>
        <v>1144459.3949999998</v>
      </c>
      <c r="E88" s="38">
        <f t="shared" si="4"/>
        <v>1084224.69</v>
      </c>
      <c r="F88" s="38">
        <f t="shared" si="5"/>
        <v>963755.27999999991</v>
      </c>
    </row>
    <row r="89" spans="1:6" ht="22.95" customHeight="1">
      <c r="A89" s="41" t="s">
        <v>553</v>
      </c>
      <c r="B89" s="35" t="s">
        <v>286</v>
      </c>
      <c r="C89" s="49">
        <f>1195.05*Оглавление!H29</f>
        <v>663252.75</v>
      </c>
      <c r="D89" s="38">
        <f t="shared" si="3"/>
        <v>630090.11249999993</v>
      </c>
      <c r="E89" s="38">
        <f t="shared" si="4"/>
        <v>596927.47499999998</v>
      </c>
      <c r="F89" s="38">
        <f t="shared" si="5"/>
        <v>530602.20000000007</v>
      </c>
    </row>
    <row r="90" spans="1:6" ht="33" customHeight="1">
      <c r="A90" s="41" t="s">
        <v>576</v>
      </c>
      <c r="B90" s="35" t="s">
        <v>287</v>
      </c>
      <c r="C90" s="49">
        <f>709.59*Оглавление!H29</f>
        <v>393822.45</v>
      </c>
      <c r="D90" s="38">
        <f t="shared" si="3"/>
        <v>374131.32750000001</v>
      </c>
      <c r="E90" s="38">
        <f t="shared" si="4"/>
        <v>354440.20500000002</v>
      </c>
      <c r="F90" s="38">
        <f t="shared" si="5"/>
        <v>315057.96000000002</v>
      </c>
    </row>
    <row r="91" spans="1:6" ht="30" customHeight="1">
      <c r="A91" s="41" t="s">
        <v>544</v>
      </c>
      <c r="B91" s="35" t="s">
        <v>328</v>
      </c>
      <c r="C91" s="49">
        <f>271.56*Оглавление!H29</f>
        <v>150715.79999999999</v>
      </c>
      <c r="D91" s="38">
        <f t="shared" si="3"/>
        <v>143180.00999999998</v>
      </c>
      <c r="E91" s="38">
        <f t="shared" si="4"/>
        <v>135644.22</v>
      </c>
      <c r="F91" s="38">
        <f t="shared" si="5"/>
        <v>120572.64</v>
      </c>
    </row>
    <row r="92" spans="1:6" ht="30.6" customHeight="1">
      <c r="A92" s="41" t="s">
        <v>545</v>
      </c>
      <c r="B92" s="35" t="s">
        <v>329</v>
      </c>
      <c r="C92" s="49">
        <f>923.49*Оглавление!H29</f>
        <v>512536.95</v>
      </c>
      <c r="D92" s="38">
        <f t="shared" si="3"/>
        <v>486910.10249999998</v>
      </c>
      <c r="E92" s="38">
        <f t="shared" si="4"/>
        <v>461283.255</v>
      </c>
      <c r="F92" s="38">
        <f t="shared" si="5"/>
        <v>410029.56000000006</v>
      </c>
    </row>
    <row r="93" spans="1:6" ht="30.6" customHeight="1">
      <c r="A93" s="41" t="s">
        <v>546</v>
      </c>
      <c r="B93" s="35" t="s">
        <v>330</v>
      </c>
      <c r="C93" s="49">
        <f>1899.99*Оглавление!H29</f>
        <v>1054494.45</v>
      </c>
      <c r="D93" s="38">
        <f t="shared" si="3"/>
        <v>1001769.7274999999</v>
      </c>
      <c r="E93" s="38">
        <f t="shared" si="4"/>
        <v>949045.005</v>
      </c>
      <c r="F93" s="38">
        <f t="shared" si="5"/>
        <v>843595.56</v>
      </c>
    </row>
    <row r="94" spans="1:6" ht="29.4" customHeight="1">
      <c r="A94" s="41" t="s">
        <v>547</v>
      </c>
      <c r="B94" s="35" t="s">
        <v>331</v>
      </c>
      <c r="C94" s="49">
        <f>3096.9*Оглавление!H29</f>
        <v>1718779.5</v>
      </c>
      <c r="D94" s="38">
        <f t="shared" si="3"/>
        <v>1632840.5249999999</v>
      </c>
      <c r="E94" s="38">
        <f t="shared" si="4"/>
        <v>1546901.55</v>
      </c>
      <c r="F94" s="38">
        <f t="shared" si="5"/>
        <v>1375023.6</v>
      </c>
    </row>
    <row r="95" spans="1:6">
      <c r="A95" s="34"/>
      <c r="B95" s="34"/>
      <c r="C95" s="34"/>
    </row>
  </sheetData>
  <mergeCells count="12">
    <mergeCell ref="A83:B83"/>
    <mergeCell ref="A1:B1"/>
    <mergeCell ref="A2:A3"/>
    <mergeCell ref="B2:B3"/>
    <mergeCell ref="A4:B4"/>
    <mergeCell ref="A5:B5"/>
    <mergeCell ref="A6:B6"/>
    <mergeCell ref="A27:B27"/>
    <mergeCell ref="A55:B55"/>
    <mergeCell ref="A64:B64"/>
    <mergeCell ref="A67:B67"/>
    <mergeCell ref="A80:B80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00"/>
  </sheetPr>
  <dimension ref="A1:Z1020"/>
  <sheetViews>
    <sheetView topLeftCell="A22" workbookViewId="0">
      <selection activeCell="D27" sqref="D27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10" width="8" customWidth="1"/>
    <col min="11" max="11" width="10.109375" customWidth="1"/>
    <col min="12" max="26" width="8" customWidth="1"/>
  </cols>
  <sheetData>
    <row r="1" spans="1:26" ht="12.75" customHeight="1" thickBot="1">
      <c r="A1" s="67"/>
      <c r="B1" s="64"/>
      <c r="C1" s="64"/>
      <c r="D1" s="64"/>
    </row>
    <row r="2" spans="1:26" ht="20.25" customHeight="1" thickBot="1">
      <c r="A2" s="19" t="s">
        <v>12</v>
      </c>
      <c r="B2" s="68" t="s">
        <v>13</v>
      </c>
      <c r="C2" s="69"/>
      <c r="D2" s="20" t="s">
        <v>45</v>
      </c>
    </row>
    <row r="3" spans="1:26" ht="16.5" customHeight="1">
      <c r="A3" s="70" t="s">
        <v>44</v>
      </c>
      <c r="B3" s="71"/>
      <c r="C3" s="71"/>
      <c r="D3" s="72"/>
    </row>
    <row r="4" spans="1:26" ht="55.95" customHeight="1" thickBot="1">
      <c r="A4" s="25" t="s">
        <v>406</v>
      </c>
      <c r="B4" s="73" t="s">
        <v>137</v>
      </c>
      <c r="C4" s="74"/>
      <c r="D4" s="14">
        <f>2448*Оглавление!H29</f>
        <v>1358640</v>
      </c>
    </row>
    <row r="5" spans="1:26" ht="57.6" customHeight="1" thickBot="1">
      <c r="A5" s="26" t="s">
        <v>407</v>
      </c>
      <c r="B5" s="75" t="s">
        <v>138</v>
      </c>
      <c r="C5" s="76"/>
      <c r="D5" s="15">
        <f>3210*Оглавление!H29</f>
        <v>1781550</v>
      </c>
      <c r="K5" s="47"/>
    </row>
    <row r="6" spans="1:26" ht="22.2" customHeight="1" thickBot="1">
      <c r="A6" s="25" t="s">
        <v>408</v>
      </c>
      <c r="B6" s="78" t="s">
        <v>49</v>
      </c>
      <c r="C6" s="79"/>
      <c r="D6" s="14">
        <f>3385*Оглавление!H29</f>
        <v>1878675</v>
      </c>
      <c r="K6" s="47"/>
    </row>
    <row r="7" spans="1:26" ht="22.2" customHeight="1" thickBot="1">
      <c r="A7" s="25" t="s">
        <v>409</v>
      </c>
      <c r="B7" s="78" t="s">
        <v>46</v>
      </c>
      <c r="C7" s="79"/>
      <c r="D7" s="14">
        <f>3035*Оглавление!H29</f>
        <v>1684425</v>
      </c>
    </row>
    <row r="8" spans="1:26" ht="22.2" customHeight="1" thickBot="1">
      <c r="A8" s="25" t="s">
        <v>410</v>
      </c>
      <c r="B8" s="78" t="s">
        <v>48</v>
      </c>
      <c r="C8" s="79"/>
      <c r="D8" s="14">
        <f>3735*Оглавление!H29</f>
        <v>2072925</v>
      </c>
    </row>
    <row r="9" spans="1:26" ht="22.2" customHeight="1" thickBot="1">
      <c r="A9" s="26" t="s">
        <v>411</v>
      </c>
      <c r="B9" s="80" t="s">
        <v>50</v>
      </c>
      <c r="C9" s="81"/>
      <c r="D9" s="15">
        <f>4140*Оглавление!H29</f>
        <v>2297700</v>
      </c>
    </row>
    <row r="10" spans="1:26" ht="22.2" customHeight="1" thickBot="1">
      <c r="A10" s="26" t="s">
        <v>412</v>
      </c>
      <c r="B10" s="80" t="s">
        <v>47</v>
      </c>
      <c r="C10" s="81"/>
      <c r="D10" s="15">
        <f>3790*Оглавление!H29</f>
        <v>2103450</v>
      </c>
    </row>
    <row r="11" spans="1:26" ht="22.2" customHeight="1" thickBot="1">
      <c r="A11" s="26" t="s">
        <v>413</v>
      </c>
      <c r="B11" s="80" t="s">
        <v>57</v>
      </c>
      <c r="C11" s="81"/>
      <c r="D11" s="15">
        <f>4490*Оглавление!H29</f>
        <v>2491950</v>
      </c>
    </row>
    <row r="12" spans="1:26" ht="16.5" customHeight="1" thickBot="1">
      <c r="A12" s="77" t="s">
        <v>14</v>
      </c>
      <c r="B12" s="71"/>
      <c r="C12" s="71"/>
      <c r="D12" s="72"/>
    </row>
    <row r="13" spans="1:26" ht="63.6" customHeight="1">
      <c r="A13" s="16" t="s">
        <v>414</v>
      </c>
      <c r="B13" s="10" t="s">
        <v>58</v>
      </c>
      <c r="C13" s="22" t="s">
        <v>61</v>
      </c>
      <c r="D13" s="21">
        <f>101.37*Оглавление!H29</f>
        <v>56260.350000000006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64.2" customHeight="1">
      <c r="A14" s="17" t="s">
        <v>415</v>
      </c>
      <c r="B14" s="8" t="s">
        <v>59</v>
      </c>
      <c r="C14" s="22" t="s">
        <v>63</v>
      </c>
      <c r="D14" s="21">
        <f>112.53*Оглавление!H29</f>
        <v>62454.15</v>
      </c>
      <c r="E14" s="11"/>
    </row>
    <row r="15" spans="1:26" ht="36.6" customHeight="1">
      <c r="A15" s="17" t="s">
        <v>416</v>
      </c>
      <c r="B15" s="8" t="s">
        <v>58</v>
      </c>
      <c r="C15" s="22" t="s">
        <v>64</v>
      </c>
      <c r="D15" s="21">
        <f>94.86*Оглавление!H29</f>
        <v>52647.3</v>
      </c>
    </row>
    <row r="16" spans="1:26" ht="36.6" customHeight="1">
      <c r="A16" s="17" t="s">
        <v>417</v>
      </c>
      <c r="B16" s="8" t="s">
        <v>60</v>
      </c>
      <c r="C16" s="22" t="s">
        <v>65</v>
      </c>
      <c r="D16" s="21">
        <f>93.93*Оглавление!H29</f>
        <v>52131.15</v>
      </c>
    </row>
    <row r="17" spans="1:4" ht="24.75" customHeight="1">
      <c r="A17" s="17" t="s">
        <v>418</v>
      </c>
      <c r="B17" s="8" t="s">
        <v>60</v>
      </c>
      <c r="C17" s="22" t="s">
        <v>66</v>
      </c>
      <c r="D17" s="21">
        <f>83.7*Оглавление!H29</f>
        <v>46453.5</v>
      </c>
    </row>
    <row r="18" spans="1:4" ht="19.95" customHeight="1">
      <c r="A18" s="17" t="s">
        <v>419</v>
      </c>
      <c r="B18" s="8" t="s">
        <v>73</v>
      </c>
      <c r="C18" s="22" t="s">
        <v>62</v>
      </c>
      <c r="D18" s="21">
        <f>34.25*Оглавление!H29</f>
        <v>19008.75</v>
      </c>
    </row>
    <row r="19" spans="1:4" ht="58.95" customHeight="1">
      <c r="A19" s="17" t="s">
        <v>420</v>
      </c>
      <c r="B19" s="8" t="s">
        <v>70</v>
      </c>
      <c r="C19" s="22" t="s">
        <v>74</v>
      </c>
      <c r="D19" s="21">
        <f>61*Оглавление!H29</f>
        <v>33855</v>
      </c>
    </row>
    <row r="20" spans="1:4" ht="56.4" customHeight="1">
      <c r="A20" s="17" t="s">
        <v>421</v>
      </c>
      <c r="B20" s="8" t="s">
        <v>71</v>
      </c>
      <c r="C20" s="23" t="s">
        <v>75</v>
      </c>
      <c r="D20" s="21">
        <f>35.25*Оглавление!H29</f>
        <v>19563.75</v>
      </c>
    </row>
    <row r="21" spans="1:4" ht="64.95" customHeight="1">
      <c r="A21" s="12">
        <v>45106</v>
      </c>
      <c r="B21" s="8" t="s">
        <v>72</v>
      </c>
      <c r="C21" s="23" t="s">
        <v>76</v>
      </c>
      <c r="D21" s="21">
        <f>65*Оглавление!H29</f>
        <v>36075</v>
      </c>
    </row>
    <row r="22" spans="1:4" ht="62.4" customHeight="1">
      <c r="A22" s="17" t="s">
        <v>422</v>
      </c>
      <c r="B22" s="8" t="s">
        <v>80</v>
      </c>
      <c r="C22" s="22" t="s">
        <v>82</v>
      </c>
      <c r="D22" s="21">
        <f>67*Оглавление!H29</f>
        <v>37185</v>
      </c>
    </row>
    <row r="23" spans="1:4" ht="64.2" customHeight="1">
      <c r="A23" s="17" t="s">
        <v>423</v>
      </c>
      <c r="B23" s="8" t="s">
        <v>79</v>
      </c>
      <c r="C23" s="23" t="s">
        <v>84</v>
      </c>
      <c r="D23" s="21">
        <f>145*Оглавление!H29</f>
        <v>80475</v>
      </c>
    </row>
    <row r="24" spans="1:4" ht="57.6" customHeight="1" thickBot="1">
      <c r="A24" s="12">
        <v>45117</v>
      </c>
      <c r="B24" s="8" t="s">
        <v>81</v>
      </c>
      <c r="C24" s="23" t="s">
        <v>83</v>
      </c>
      <c r="D24" s="21">
        <f>27.25*Оглавление!H29</f>
        <v>15123.75</v>
      </c>
    </row>
    <row r="25" spans="1:4" ht="16.5" customHeight="1" thickBot="1">
      <c r="A25" s="82" t="s">
        <v>88</v>
      </c>
      <c r="B25" s="71"/>
      <c r="C25" s="71"/>
      <c r="D25" s="72"/>
    </row>
    <row r="26" spans="1:4" ht="56.4" customHeight="1">
      <c r="A26" s="16" t="s">
        <v>424</v>
      </c>
      <c r="B26" s="83" t="s">
        <v>85</v>
      </c>
      <c r="C26" s="84"/>
      <c r="D26" s="21">
        <f>91*Оглавление!H29</f>
        <v>50505</v>
      </c>
    </row>
    <row r="27" spans="1:4" ht="54" customHeight="1">
      <c r="A27" s="17" t="s">
        <v>425</v>
      </c>
      <c r="B27" s="83" t="s">
        <v>592</v>
      </c>
      <c r="C27" s="84"/>
      <c r="D27" s="21">
        <f>36.5*Оглавление!H29</f>
        <v>20257.5</v>
      </c>
    </row>
    <row r="28" spans="1:4" ht="27.6" customHeight="1">
      <c r="A28" s="17" t="s">
        <v>426</v>
      </c>
      <c r="B28" s="83" t="s">
        <v>86</v>
      </c>
      <c r="C28" s="84"/>
      <c r="D28" s="21">
        <f>74*Оглавление!H29</f>
        <v>41070</v>
      </c>
    </row>
    <row r="29" spans="1:4" ht="24" customHeight="1" thickBot="1">
      <c r="A29" s="17" t="s">
        <v>427</v>
      </c>
      <c r="B29" s="83" t="s">
        <v>87</v>
      </c>
      <c r="C29" s="84"/>
      <c r="D29" s="21">
        <f>60*Оглавление!H29</f>
        <v>33300</v>
      </c>
    </row>
    <row r="30" spans="1:4" ht="16.5" customHeight="1" thickBot="1">
      <c r="A30" s="82" t="s">
        <v>89</v>
      </c>
      <c r="B30" s="71"/>
      <c r="C30" s="71"/>
      <c r="D30" s="72"/>
    </row>
    <row r="31" spans="1:4" ht="20.25" customHeight="1" thickBot="1">
      <c r="A31" s="17" t="s">
        <v>428</v>
      </c>
      <c r="B31" s="85" t="s">
        <v>214</v>
      </c>
      <c r="C31" s="86"/>
      <c r="D31" s="21">
        <f>884*Оглавление!H29</f>
        <v>490620</v>
      </c>
    </row>
    <row r="32" spans="1:4" ht="12.75" customHeight="1" thickBot="1">
      <c r="A32" s="82" t="s">
        <v>90</v>
      </c>
      <c r="B32" s="71"/>
      <c r="C32" s="71"/>
      <c r="D32" s="72"/>
    </row>
    <row r="33" spans="1:4" ht="57" customHeight="1">
      <c r="A33" s="16" t="s">
        <v>429</v>
      </c>
      <c r="B33" s="83" t="s">
        <v>91</v>
      </c>
      <c r="C33" s="84"/>
      <c r="D33" s="21">
        <f>252*Оглавление!H29</f>
        <v>139860</v>
      </c>
    </row>
    <row r="34" spans="1:4" ht="58.2" customHeight="1">
      <c r="A34" s="24" t="s">
        <v>430</v>
      </c>
      <c r="B34" s="83" t="s">
        <v>92</v>
      </c>
      <c r="C34" s="84"/>
      <c r="D34" s="21">
        <f>252*Оглавление!H29</f>
        <v>139860</v>
      </c>
    </row>
    <row r="35" spans="1:4" ht="12.75" customHeight="1">
      <c r="A35" s="24" t="s">
        <v>431</v>
      </c>
      <c r="B35" s="83" t="s">
        <v>93</v>
      </c>
      <c r="C35" s="84"/>
      <c r="D35" s="21">
        <f>151.25*Оглавление!H29</f>
        <v>83943.75</v>
      </c>
    </row>
    <row r="36" spans="1:4" ht="12.75" customHeight="1">
      <c r="A36" s="24" t="s">
        <v>432</v>
      </c>
      <c r="B36" s="83" t="s">
        <v>94</v>
      </c>
      <c r="C36" s="84"/>
      <c r="D36" s="21">
        <f>83*Оглавление!H29</f>
        <v>46065</v>
      </c>
    </row>
    <row r="37" spans="1:4" ht="12.75" customHeight="1">
      <c r="A37" s="24" t="s">
        <v>433</v>
      </c>
      <c r="B37" s="83" t="s">
        <v>95</v>
      </c>
      <c r="C37" s="84"/>
      <c r="D37" s="21">
        <f>155*Оглавление!H29</f>
        <v>86025</v>
      </c>
    </row>
    <row r="38" spans="1:4" ht="12.75" customHeight="1">
      <c r="A38" s="24" t="s">
        <v>434</v>
      </c>
      <c r="B38" s="83" t="s">
        <v>96</v>
      </c>
      <c r="C38" s="84"/>
      <c r="D38" s="21">
        <f>131.25*Оглавление!H29</f>
        <v>72843.75</v>
      </c>
    </row>
    <row r="39" spans="1:4" ht="12.75" customHeight="1">
      <c r="A39" s="24" t="s">
        <v>435</v>
      </c>
      <c r="B39" s="83" t="s">
        <v>97</v>
      </c>
      <c r="C39" s="84"/>
      <c r="D39" s="21">
        <f>190*Оглавление!H29</f>
        <v>105450</v>
      </c>
    </row>
    <row r="40" spans="1:4" ht="21.6" customHeight="1">
      <c r="A40" s="16" t="s">
        <v>436</v>
      </c>
      <c r="B40" s="83" t="s">
        <v>98</v>
      </c>
      <c r="C40" s="84"/>
      <c r="D40" s="21">
        <f>227*Оглавление!H29</f>
        <v>125985</v>
      </c>
    </row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</sheetData>
  <mergeCells count="28">
    <mergeCell ref="A25:D25"/>
    <mergeCell ref="B26:C26"/>
    <mergeCell ref="A32:D32"/>
    <mergeCell ref="B33:C33"/>
    <mergeCell ref="B40:C40"/>
    <mergeCell ref="B34:C34"/>
    <mergeCell ref="B35:C35"/>
    <mergeCell ref="B36:C36"/>
    <mergeCell ref="B37:C37"/>
    <mergeCell ref="B38:C38"/>
    <mergeCell ref="B39:C39"/>
    <mergeCell ref="B27:C27"/>
    <mergeCell ref="B28:C28"/>
    <mergeCell ref="B29:C29"/>
    <mergeCell ref="A30:D30"/>
    <mergeCell ref="B31:C31"/>
    <mergeCell ref="A12:D12"/>
    <mergeCell ref="B6:C6"/>
    <mergeCell ref="B7:C7"/>
    <mergeCell ref="B11:C11"/>
    <mergeCell ref="B9:C9"/>
    <mergeCell ref="B8:C8"/>
    <mergeCell ref="B10:C10"/>
    <mergeCell ref="A1:D1"/>
    <mergeCell ref="B2:C2"/>
    <mergeCell ref="A3:D3"/>
    <mergeCell ref="B4:C4"/>
    <mergeCell ref="B5:C5"/>
  </mergeCells>
  <phoneticPr fontId="16" type="noConversion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A163-C144-4FE5-9E3C-B4058CBA8D81}">
  <sheetPr>
    <tabColor theme="6" tint="0.39997558519241921"/>
  </sheetPr>
  <dimension ref="A1:Z1018"/>
  <sheetViews>
    <sheetView topLeftCell="A19" workbookViewId="0">
      <selection activeCell="K19" sqref="K1:K1048576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26" ht="12.75" customHeight="1" thickBot="1">
      <c r="A1" s="67"/>
      <c r="B1" s="64"/>
      <c r="C1" s="64"/>
      <c r="D1" s="64"/>
    </row>
    <row r="2" spans="1:26" ht="20.25" customHeight="1" thickBot="1">
      <c r="A2" s="19" t="s">
        <v>12</v>
      </c>
      <c r="B2" s="68" t="s">
        <v>13</v>
      </c>
      <c r="C2" s="69"/>
      <c r="D2" s="20" t="s">
        <v>45</v>
      </c>
    </row>
    <row r="3" spans="1:26" ht="16.5" customHeight="1" thickBot="1">
      <c r="A3" s="70" t="s">
        <v>99</v>
      </c>
      <c r="B3" s="71"/>
      <c r="C3" s="71"/>
      <c r="D3" s="72"/>
    </row>
    <row r="4" spans="1:26" ht="55.95" customHeight="1" thickBot="1">
      <c r="A4" s="25" t="s">
        <v>437</v>
      </c>
      <c r="B4" s="73" t="s">
        <v>104</v>
      </c>
      <c r="C4" s="74"/>
      <c r="D4" s="14">
        <f>2627.38*Оглавление!H29</f>
        <v>1458195.9000000001</v>
      </c>
    </row>
    <row r="5" spans="1:26" ht="57.6" customHeight="1" thickBot="1">
      <c r="A5" s="26" t="s">
        <v>438</v>
      </c>
      <c r="B5" s="75" t="s">
        <v>105</v>
      </c>
      <c r="C5" s="76"/>
      <c r="D5" s="15">
        <f>3371.2*Оглавление!H29</f>
        <v>1871016</v>
      </c>
    </row>
    <row r="6" spans="1:26" ht="54.6" customHeight="1" thickBot="1">
      <c r="A6" s="25" t="s">
        <v>439</v>
      </c>
      <c r="B6" s="87" t="s">
        <v>106</v>
      </c>
      <c r="C6" s="88"/>
      <c r="D6" s="14">
        <f>3317.3*Оглавление!H29</f>
        <v>1841101.5</v>
      </c>
    </row>
    <row r="7" spans="1:26" ht="51" customHeight="1" thickBot="1">
      <c r="A7" s="26" t="s">
        <v>440</v>
      </c>
      <c r="B7" s="80" t="s">
        <v>107</v>
      </c>
      <c r="C7" s="81"/>
      <c r="D7" s="15">
        <f>4057.2*Оглавление!H29</f>
        <v>2251746</v>
      </c>
    </row>
    <row r="8" spans="1:26" ht="79.2" customHeight="1" thickBot="1">
      <c r="A8" s="26" t="s">
        <v>441</v>
      </c>
      <c r="B8" s="80" t="s">
        <v>103</v>
      </c>
      <c r="C8" s="81"/>
      <c r="D8" s="15">
        <f>6227.9*Оглавление!H29</f>
        <v>3456484.5</v>
      </c>
    </row>
    <row r="9" spans="1:26" ht="49.2" customHeight="1" thickBot="1">
      <c r="A9" s="26" t="s">
        <v>442</v>
      </c>
      <c r="B9" s="80" t="s">
        <v>108</v>
      </c>
      <c r="C9" s="81"/>
      <c r="D9" s="15">
        <f>6913.9*Оглавление!H29</f>
        <v>3837214.5</v>
      </c>
    </row>
    <row r="10" spans="1:26" ht="22.2" customHeight="1" thickBot="1">
      <c r="A10" s="27" t="s">
        <v>443</v>
      </c>
      <c r="B10" s="89" t="s">
        <v>594</v>
      </c>
      <c r="C10" s="90"/>
      <c r="D10" s="28">
        <f>743.82*Оглавление!H29</f>
        <v>412820.10000000003</v>
      </c>
    </row>
    <row r="11" spans="1:26" ht="16.5" customHeight="1" thickBot="1">
      <c r="A11" s="77" t="s">
        <v>14</v>
      </c>
      <c r="B11" s="71"/>
      <c r="C11" s="71"/>
      <c r="D11" s="72"/>
    </row>
    <row r="12" spans="1:26" ht="63.6" customHeight="1">
      <c r="A12" s="16" t="s">
        <v>110</v>
      </c>
      <c r="B12" s="10" t="s">
        <v>17</v>
      </c>
      <c r="C12" s="22" t="s">
        <v>109</v>
      </c>
      <c r="D12" s="21">
        <f>185*Оглавление!H29</f>
        <v>102675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64.2" customHeight="1">
      <c r="A13" s="17" t="s">
        <v>444</v>
      </c>
      <c r="B13" s="8" t="s">
        <v>112</v>
      </c>
      <c r="C13" s="22" t="s">
        <v>113</v>
      </c>
      <c r="D13" s="21">
        <f>250*Оглавление!H29</f>
        <v>138750</v>
      </c>
      <c r="E13" s="11"/>
    </row>
    <row r="14" spans="1:26" ht="36.6" customHeight="1">
      <c r="A14" s="17" t="s">
        <v>445</v>
      </c>
      <c r="B14" s="8" t="s">
        <v>16</v>
      </c>
      <c r="C14" s="22" t="s">
        <v>115</v>
      </c>
      <c r="D14" s="21">
        <f>263*Оглавление!H29</f>
        <v>145965</v>
      </c>
    </row>
    <row r="15" spans="1:26" ht="49.95" customHeight="1">
      <c r="A15" s="17" t="s">
        <v>446</v>
      </c>
      <c r="B15" s="8" t="s">
        <v>118</v>
      </c>
      <c r="C15" s="22" t="s">
        <v>120</v>
      </c>
      <c r="D15" s="21">
        <f>55*Оглавление!H29</f>
        <v>30525</v>
      </c>
    </row>
    <row r="16" spans="1:26" ht="27.6" customHeight="1" thickBot="1">
      <c r="A16" s="17" t="s">
        <v>447</v>
      </c>
      <c r="B16" s="8" t="s">
        <v>119</v>
      </c>
      <c r="C16" s="22" t="s">
        <v>121</v>
      </c>
      <c r="D16" s="21">
        <f>102*Оглавление!H29</f>
        <v>56610</v>
      </c>
    </row>
    <row r="17" spans="1:4" ht="16.5" customHeight="1" thickBot="1">
      <c r="A17" s="82" t="s">
        <v>122</v>
      </c>
      <c r="B17" s="71"/>
      <c r="C17" s="71"/>
      <c r="D17" s="72"/>
    </row>
    <row r="18" spans="1:4" ht="49.95" customHeight="1">
      <c r="A18" s="16" t="s">
        <v>448</v>
      </c>
      <c r="B18" s="83" t="s">
        <v>123</v>
      </c>
      <c r="C18" s="84"/>
      <c r="D18" s="21">
        <f>96*Оглавление!H29</f>
        <v>53280</v>
      </c>
    </row>
    <row r="19" spans="1:4" ht="27.6" customHeight="1">
      <c r="A19" s="16" t="s">
        <v>449</v>
      </c>
      <c r="B19" s="83" t="s">
        <v>124</v>
      </c>
      <c r="C19" s="84"/>
      <c r="D19" s="21">
        <f>96*Оглавление!H29</f>
        <v>53280</v>
      </c>
    </row>
    <row r="20" spans="1:4" ht="31.2" customHeight="1">
      <c r="A20" s="16" t="s">
        <v>450</v>
      </c>
      <c r="B20" s="83" t="s">
        <v>125</v>
      </c>
      <c r="C20" s="84"/>
      <c r="D20" s="21">
        <f>179*Оглавление!H29</f>
        <v>99345</v>
      </c>
    </row>
    <row r="21" spans="1:4" ht="33.6" customHeight="1">
      <c r="A21" s="16" t="s">
        <v>451</v>
      </c>
      <c r="B21" s="83" t="s">
        <v>126</v>
      </c>
      <c r="C21" s="84"/>
      <c r="D21" s="21">
        <f>179*Оглавление!H29</f>
        <v>99345</v>
      </c>
    </row>
    <row r="22" spans="1:4" ht="36.6" customHeight="1">
      <c r="A22" s="16" t="s">
        <v>452</v>
      </c>
      <c r="B22" s="83" t="s">
        <v>127</v>
      </c>
      <c r="C22" s="84"/>
      <c r="D22" s="21">
        <f>86.75*Оглавление!H29</f>
        <v>48146.25</v>
      </c>
    </row>
    <row r="23" spans="1:4" ht="35.4" customHeight="1" thickBot="1">
      <c r="A23" s="16" t="s">
        <v>453</v>
      </c>
      <c r="B23" s="83" t="s">
        <v>128</v>
      </c>
      <c r="C23" s="84"/>
      <c r="D23" s="21">
        <f>80*Оглавление!H29</f>
        <v>44400</v>
      </c>
    </row>
    <row r="24" spans="1:4" ht="16.5" customHeight="1" thickBot="1">
      <c r="A24" s="82" t="s">
        <v>102</v>
      </c>
      <c r="B24" s="71"/>
      <c r="C24" s="71"/>
      <c r="D24" s="72"/>
    </row>
    <row r="25" spans="1:4" ht="56.4" customHeight="1">
      <c r="A25" s="16" t="s">
        <v>424</v>
      </c>
      <c r="B25" s="83" t="s">
        <v>85</v>
      </c>
      <c r="C25" s="84"/>
      <c r="D25" s="21">
        <f>91*Оглавление!H29</f>
        <v>50505</v>
      </c>
    </row>
    <row r="26" spans="1:4" ht="27.6" customHeight="1">
      <c r="A26" s="17" t="s">
        <v>426</v>
      </c>
      <c r="B26" s="83" t="s">
        <v>86</v>
      </c>
      <c r="C26" s="84"/>
      <c r="D26" s="21">
        <f>74*Оглавление!H29</f>
        <v>41070</v>
      </c>
    </row>
    <row r="27" spans="1:4" ht="24" customHeight="1" thickBot="1">
      <c r="A27" s="17" t="s">
        <v>427</v>
      </c>
      <c r="B27" s="83" t="s">
        <v>87</v>
      </c>
      <c r="C27" s="84"/>
      <c r="D27" s="21">
        <f>60*Оглавление!H29</f>
        <v>33300</v>
      </c>
    </row>
    <row r="28" spans="1:4" ht="16.5" customHeight="1" thickBot="1">
      <c r="A28" s="82" t="s">
        <v>100</v>
      </c>
      <c r="B28" s="71"/>
      <c r="C28" s="71"/>
      <c r="D28" s="72"/>
    </row>
    <row r="29" spans="1:4" ht="20.25" customHeight="1" thickBot="1">
      <c r="A29" s="17" t="s">
        <v>428</v>
      </c>
      <c r="B29" s="85" t="s">
        <v>214</v>
      </c>
      <c r="C29" s="86"/>
      <c r="D29" s="21">
        <f>884*Оглавление!H29</f>
        <v>490620</v>
      </c>
    </row>
    <row r="30" spans="1:4" ht="12.75" customHeight="1" thickBot="1">
      <c r="A30" s="82" t="s">
        <v>101</v>
      </c>
      <c r="B30" s="71"/>
      <c r="C30" s="71"/>
      <c r="D30" s="72"/>
    </row>
    <row r="31" spans="1:4" ht="57" customHeight="1">
      <c r="A31" s="16" t="s">
        <v>429</v>
      </c>
      <c r="B31" s="83" t="s">
        <v>91</v>
      </c>
      <c r="C31" s="84"/>
      <c r="D31" s="21">
        <f>252*Оглавление!H29</f>
        <v>139860</v>
      </c>
    </row>
    <row r="32" spans="1:4" ht="58.2" customHeight="1">
      <c r="A32" s="24" t="s">
        <v>430</v>
      </c>
      <c r="B32" s="83" t="s">
        <v>92</v>
      </c>
      <c r="C32" s="84"/>
      <c r="D32" s="21">
        <f>252*Оглавление!H29</f>
        <v>139860</v>
      </c>
    </row>
    <row r="33" spans="1:4" ht="12.75" customHeight="1">
      <c r="A33" s="24" t="s">
        <v>431</v>
      </c>
      <c r="B33" s="83" t="s">
        <v>93</v>
      </c>
      <c r="C33" s="84"/>
      <c r="D33" s="21">
        <f>151.25*Оглавление!H29</f>
        <v>83943.75</v>
      </c>
    </row>
    <row r="34" spans="1:4" ht="12.75" customHeight="1">
      <c r="A34" s="24" t="s">
        <v>432</v>
      </c>
      <c r="B34" s="83" t="s">
        <v>94</v>
      </c>
      <c r="C34" s="84"/>
      <c r="D34" s="21">
        <f>83*Оглавление!H29</f>
        <v>46065</v>
      </c>
    </row>
    <row r="35" spans="1:4" ht="12.75" customHeight="1">
      <c r="A35" s="24" t="s">
        <v>433</v>
      </c>
      <c r="B35" s="83" t="s">
        <v>95</v>
      </c>
      <c r="C35" s="84"/>
      <c r="D35" s="21">
        <f>155*Оглавление!H29</f>
        <v>86025</v>
      </c>
    </row>
    <row r="36" spans="1:4" ht="12.75" customHeight="1">
      <c r="A36" s="24" t="s">
        <v>434</v>
      </c>
      <c r="B36" s="83" t="s">
        <v>96</v>
      </c>
      <c r="C36" s="84"/>
      <c r="D36" s="21">
        <f>131.25*Оглавление!H29</f>
        <v>72843.75</v>
      </c>
    </row>
    <row r="37" spans="1:4" ht="12.75" customHeight="1">
      <c r="A37" s="24" t="s">
        <v>435</v>
      </c>
      <c r="B37" s="83" t="s">
        <v>97</v>
      </c>
      <c r="C37" s="84"/>
      <c r="D37" s="21">
        <f>190*Оглавление!H29</f>
        <v>105450</v>
      </c>
    </row>
    <row r="38" spans="1:4" ht="21.6" customHeight="1">
      <c r="A38" s="16" t="s">
        <v>436</v>
      </c>
      <c r="B38" s="83" t="s">
        <v>98</v>
      </c>
      <c r="C38" s="84"/>
      <c r="D38" s="21">
        <f>227*Оглавление!H29</f>
        <v>125985</v>
      </c>
    </row>
    <row r="39" spans="1:4" ht="12.75" customHeight="1"/>
    <row r="40" spans="1:4" ht="12.75" customHeight="1"/>
    <row r="41" spans="1:4" ht="12.75" customHeight="1"/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</sheetData>
  <mergeCells count="33">
    <mergeCell ref="B21:C21"/>
    <mergeCell ref="B35:C35"/>
    <mergeCell ref="B36:C36"/>
    <mergeCell ref="B37:C37"/>
    <mergeCell ref="B27:C27"/>
    <mergeCell ref="A28:D28"/>
    <mergeCell ref="B38:C38"/>
    <mergeCell ref="B23:C23"/>
    <mergeCell ref="A17:D17"/>
    <mergeCell ref="B18:C18"/>
    <mergeCell ref="B22:C22"/>
    <mergeCell ref="B19:C19"/>
    <mergeCell ref="B29:C29"/>
    <mergeCell ref="A30:D30"/>
    <mergeCell ref="B31:C31"/>
    <mergeCell ref="B32:C32"/>
    <mergeCell ref="B33:C33"/>
    <mergeCell ref="B34:C34"/>
    <mergeCell ref="A24:D24"/>
    <mergeCell ref="B25:C25"/>
    <mergeCell ref="B26:C26"/>
    <mergeCell ref="B20:C20"/>
    <mergeCell ref="B7:C7"/>
    <mergeCell ref="B8:C8"/>
    <mergeCell ref="B9:C9"/>
    <mergeCell ref="B10:C10"/>
    <mergeCell ref="A11:D11"/>
    <mergeCell ref="B6:C6"/>
    <mergeCell ref="A1:D1"/>
    <mergeCell ref="B2:C2"/>
    <mergeCell ref="A3:D3"/>
    <mergeCell ref="B4:C4"/>
    <mergeCell ref="B5:C5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FB66-7FD7-4780-91A6-CCF4D033CFED}">
  <sheetPr>
    <tabColor theme="4" tint="0.59999389629810485"/>
  </sheetPr>
  <dimension ref="A1:Z1018"/>
  <sheetViews>
    <sheetView workbookViewId="0">
      <selection activeCell="D7" sqref="D7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26" ht="12.75" customHeight="1" thickBot="1">
      <c r="A1" s="67"/>
      <c r="B1" s="64"/>
      <c r="C1" s="64"/>
      <c r="D1" s="64"/>
    </row>
    <row r="2" spans="1:26" ht="20.25" customHeight="1" thickBot="1">
      <c r="A2" s="19" t="s">
        <v>12</v>
      </c>
      <c r="B2" s="68" t="s">
        <v>13</v>
      </c>
      <c r="C2" s="69"/>
      <c r="D2" s="20" t="s">
        <v>45</v>
      </c>
    </row>
    <row r="3" spans="1:26" ht="16.5" customHeight="1" thickBot="1">
      <c r="A3" s="70" t="s">
        <v>129</v>
      </c>
      <c r="B3" s="71"/>
      <c r="C3" s="71"/>
      <c r="D3" s="72"/>
    </row>
    <row r="4" spans="1:26" ht="55.95" customHeight="1" thickBot="1">
      <c r="A4" s="25" t="s">
        <v>454</v>
      </c>
      <c r="B4" s="73" t="s">
        <v>133</v>
      </c>
      <c r="C4" s="74"/>
      <c r="D4" s="14">
        <f>3430*Оглавление!H29</f>
        <v>1903650</v>
      </c>
    </row>
    <row r="5" spans="1:26" ht="57.6" customHeight="1" thickBot="1">
      <c r="A5" s="26" t="s">
        <v>455</v>
      </c>
      <c r="B5" s="75" t="s">
        <v>134</v>
      </c>
      <c r="C5" s="81"/>
      <c r="D5" s="15">
        <f>4630.5*Оглавление!H29</f>
        <v>2569927.5</v>
      </c>
    </row>
    <row r="6" spans="1:26" ht="57.6" customHeight="1" thickBot="1">
      <c r="A6" s="26" t="s">
        <v>566</v>
      </c>
      <c r="B6" s="75" t="s">
        <v>600</v>
      </c>
      <c r="C6" s="81"/>
      <c r="D6" s="15">
        <f>5541.9*Оглавление!H29</f>
        <v>3075754.5</v>
      </c>
    </row>
    <row r="7" spans="1:26" ht="27.75" customHeight="1" thickBot="1">
      <c r="A7" s="25" t="s">
        <v>456</v>
      </c>
      <c r="B7" s="78" t="s">
        <v>135</v>
      </c>
      <c r="C7" s="79"/>
      <c r="D7" s="14">
        <f>4116*Оглавление!H29</f>
        <v>2284380</v>
      </c>
    </row>
    <row r="8" spans="1:26" ht="58.95" customHeight="1" thickBot="1">
      <c r="A8" s="25" t="s">
        <v>457</v>
      </c>
      <c r="B8" s="78" t="s">
        <v>136</v>
      </c>
      <c r="C8" s="79"/>
      <c r="D8" s="14">
        <f>4459*Оглавление!H29</f>
        <v>2474745</v>
      </c>
    </row>
    <row r="9" spans="1:26" ht="22.2" customHeight="1" thickBot="1">
      <c r="A9" s="26" t="s">
        <v>458</v>
      </c>
      <c r="B9" s="80" t="s">
        <v>139</v>
      </c>
      <c r="C9" s="81"/>
      <c r="D9" s="15">
        <f>5541.9*Оглавление!H29</f>
        <v>3075754.5</v>
      </c>
    </row>
    <row r="10" spans="1:26" ht="16.5" customHeight="1" thickBot="1">
      <c r="A10" s="77" t="s">
        <v>14</v>
      </c>
      <c r="B10" s="71"/>
      <c r="C10" s="71"/>
      <c r="D10" s="72"/>
    </row>
    <row r="11" spans="1:26" ht="63.6" customHeight="1">
      <c r="A11" s="16" t="s">
        <v>414</v>
      </c>
      <c r="B11" s="10" t="s">
        <v>58</v>
      </c>
      <c r="C11" s="22" t="s">
        <v>61</v>
      </c>
      <c r="D11" s="21">
        <f>101.37*Оглавление!H29</f>
        <v>56260.350000000006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63.6" customHeight="1">
      <c r="A12" s="17" t="s">
        <v>419</v>
      </c>
      <c r="B12" s="8" t="s">
        <v>73</v>
      </c>
      <c r="C12" s="22" t="s">
        <v>62</v>
      </c>
      <c r="D12" s="21">
        <f>34.25*Оглавление!H29</f>
        <v>19008.75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63.6" customHeight="1">
      <c r="A13" s="17" t="s">
        <v>459</v>
      </c>
      <c r="B13" s="8" t="s">
        <v>141</v>
      </c>
      <c r="C13" s="23" t="s">
        <v>142</v>
      </c>
      <c r="D13" s="21">
        <f>121*Оглавление!H29</f>
        <v>67155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58.95" customHeight="1">
      <c r="A14" s="17" t="s">
        <v>420</v>
      </c>
      <c r="B14" s="8" t="s">
        <v>70</v>
      </c>
      <c r="C14" s="22" t="s">
        <v>74</v>
      </c>
      <c r="D14" s="21">
        <f>61*Оглавление!H29</f>
        <v>33855</v>
      </c>
    </row>
    <row r="15" spans="1:26" ht="56.4" customHeight="1">
      <c r="A15" s="17" t="s">
        <v>421</v>
      </c>
      <c r="B15" s="8" t="s">
        <v>71</v>
      </c>
      <c r="C15" s="23" t="s">
        <v>75</v>
      </c>
      <c r="D15" s="21">
        <f>35.25*Оглавление!H29</f>
        <v>19563.75</v>
      </c>
    </row>
    <row r="16" spans="1:26" ht="64.95" customHeight="1">
      <c r="A16" s="12">
        <v>45106</v>
      </c>
      <c r="B16" s="8" t="s">
        <v>72</v>
      </c>
      <c r="C16" s="23" t="s">
        <v>76</v>
      </c>
      <c r="D16" s="21">
        <f>65*Оглавление!H29</f>
        <v>36075</v>
      </c>
    </row>
    <row r="17" spans="1:4" ht="64.95" customHeight="1">
      <c r="A17" s="12">
        <v>45109</v>
      </c>
      <c r="B17" s="8" t="s">
        <v>143</v>
      </c>
      <c r="C17" s="23" t="s">
        <v>145</v>
      </c>
      <c r="D17" s="21">
        <f>130*Оглавление!H29</f>
        <v>72150</v>
      </c>
    </row>
    <row r="18" spans="1:4" ht="64.95" customHeight="1">
      <c r="A18" s="12">
        <v>45110</v>
      </c>
      <c r="B18" s="8" t="s">
        <v>144</v>
      </c>
      <c r="C18" s="23" t="s">
        <v>146</v>
      </c>
      <c r="D18" s="21">
        <f>127*Оглавление!H29</f>
        <v>70485</v>
      </c>
    </row>
    <row r="19" spans="1:4" ht="64.95" customHeight="1">
      <c r="A19" s="12">
        <v>45114</v>
      </c>
      <c r="B19" s="8" t="s">
        <v>147</v>
      </c>
      <c r="C19" s="23" t="s">
        <v>148</v>
      </c>
      <c r="D19" s="21">
        <f>112*Оглавление!H29</f>
        <v>62160</v>
      </c>
    </row>
    <row r="20" spans="1:4" ht="62.4" customHeight="1">
      <c r="A20" s="17" t="s">
        <v>422</v>
      </c>
      <c r="B20" s="8" t="s">
        <v>80</v>
      </c>
      <c r="C20" s="22" t="s">
        <v>82</v>
      </c>
      <c r="D20" s="21">
        <f>67*Оглавление!H29</f>
        <v>37185</v>
      </c>
    </row>
    <row r="21" spans="1:4" ht="64.2" customHeight="1">
      <c r="A21" s="17" t="s">
        <v>423</v>
      </c>
      <c r="B21" s="8" t="s">
        <v>79</v>
      </c>
      <c r="C21" s="23" t="s">
        <v>84</v>
      </c>
      <c r="D21" s="21">
        <f>145*Оглавление!H29</f>
        <v>80475</v>
      </c>
    </row>
    <row r="22" spans="1:4" ht="57.6" customHeight="1" thickBot="1">
      <c r="A22" s="12">
        <v>45117</v>
      </c>
      <c r="B22" s="8" t="s">
        <v>81</v>
      </c>
      <c r="C22" s="23" t="s">
        <v>83</v>
      </c>
      <c r="D22" s="21">
        <f>27.25*Оглавление!H29</f>
        <v>15123.75</v>
      </c>
    </row>
    <row r="23" spans="1:4" ht="16.5" customHeight="1" thickBot="1">
      <c r="A23" s="82" t="s">
        <v>130</v>
      </c>
      <c r="B23" s="71"/>
      <c r="C23" s="71"/>
      <c r="D23" s="72"/>
    </row>
    <row r="24" spans="1:4" ht="56.4" customHeight="1">
      <c r="A24" s="16" t="s">
        <v>424</v>
      </c>
      <c r="B24" s="83" t="s">
        <v>85</v>
      </c>
      <c r="C24" s="84"/>
      <c r="D24" s="21">
        <f>91*Оглавление!H29</f>
        <v>50505</v>
      </c>
    </row>
    <row r="25" spans="1:4" ht="54" customHeight="1">
      <c r="A25" s="17" t="s">
        <v>425</v>
      </c>
      <c r="B25" s="83" t="s">
        <v>592</v>
      </c>
      <c r="C25" s="84"/>
      <c r="D25" s="21">
        <f>36.5*Оглавление!H29</f>
        <v>20257.5</v>
      </c>
    </row>
    <row r="26" spans="1:4" ht="27.6" customHeight="1">
      <c r="A26" s="17" t="s">
        <v>426</v>
      </c>
      <c r="B26" s="83" t="s">
        <v>86</v>
      </c>
      <c r="C26" s="84"/>
      <c r="D26" s="21">
        <f>74*Оглавление!H29</f>
        <v>41070</v>
      </c>
    </row>
    <row r="27" spans="1:4" ht="24" customHeight="1" thickBot="1">
      <c r="A27" s="17" t="s">
        <v>427</v>
      </c>
      <c r="B27" s="83" t="s">
        <v>87</v>
      </c>
      <c r="C27" s="84"/>
      <c r="D27" s="21">
        <f>60*Оглавление!H29</f>
        <v>33300</v>
      </c>
    </row>
    <row r="28" spans="1:4" ht="16.5" customHeight="1" thickBot="1">
      <c r="A28" s="82" t="s">
        <v>131</v>
      </c>
      <c r="B28" s="71"/>
      <c r="C28" s="71"/>
      <c r="D28" s="72"/>
    </row>
    <row r="29" spans="1:4" ht="20.25" customHeight="1" thickBot="1">
      <c r="A29" s="17" t="s">
        <v>428</v>
      </c>
      <c r="B29" s="85" t="s">
        <v>214</v>
      </c>
      <c r="C29" s="86"/>
      <c r="D29" s="21">
        <f>884*Оглавление!H29</f>
        <v>490620</v>
      </c>
    </row>
    <row r="30" spans="1:4" ht="12.75" customHeight="1" thickBot="1">
      <c r="A30" s="82" t="s">
        <v>132</v>
      </c>
      <c r="B30" s="71"/>
      <c r="C30" s="71"/>
      <c r="D30" s="72"/>
    </row>
    <row r="31" spans="1:4" ht="57" customHeight="1">
      <c r="A31" s="16" t="s">
        <v>429</v>
      </c>
      <c r="B31" s="83" t="s">
        <v>91</v>
      </c>
      <c r="C31" s="84"/>
      <c r="D31" s="21">
        <f>252*Оглавление!H29</f>
        <v>139860</v>
      </c>
    </row>
    <row r="32" spans="1:4" ht="58.2" customHeight="1">
      <c r="A32" s="24" t="s">
        <v>430</v>
      </c>
      <c r="B32" s="83" t="s">
        <v>92</v>
      </c>
      <c r="C32" s="84"/>
      <c r="D32" s="21">
        <f>252*Оглавление!H29</f>
        <v>139860</v>
      </c>
    </row>
    <row r="33" spans="1:4" ht="12.75" customHeight="1">
      <c r="A33" s="24" t="s">
        <v>431</v>
      </c>
      <c r="B33" s="83" t="s">
        <v>93</v>
      </c>
      <c r="C33" s="84"/>
      <c r="D33" s="21">
        <f>151.25*Оглавление!H29</f>
        <v>83943.75</v>
      </c>
    </row>
    <row r="34" spans="1:4" ht="12.75" customHeight="1">
      <c r="A34" s="24" t="s">
        <v>432</v>
      </c>
      <c r="B34" s="83" t="s">
        <v>94</v>
      </c>
      <c r="C34" s="84"/>
      <c r="D34" s="21">
        <f>83*Оглавление!H29</f>
        <v>46065</v>
      </c>
    </row>
    <row r="35" spans="1:4" ht="12.75" customHeight="1">
      <c r="A35" s="24" t="s">
        <v>433</v>
      </c>
      <c r="B35" s="83" t="s">
        <v>95</v>
      </c>
      <c r="C35" s="84"/>
      <c r="D35" s="21">
        <f>155*Оглавление!H29</f>
        <v>86025</v>
      </c>
    </row>
    <row r="36" spans="1:4" ht="12.75" customHeight="1">
      <c r="A36" s="24" t="s">
        <v>434</v>
      </c>
      <c r="B36" s="83" t="s">
        <v>96</v>
      </c>
      <c r="C36" s="84"/>
      <c r="D36" s="21">
        <f>131.25*Оглавление!H29</f>
        <v>72843.75</v>
      </c>
    </row>
    <row r="37" spans="1:4" ht="12.75" customHeight="1">
      <c r="A37" s="24" t="s">
        <v>435</v>
      </c>
      <c r="B37" s="83" t="s">
        <v>97</v>
      </c>
      <c r="C37" s="84"/>
      <c r="D37" s="21">
        <f>190*Оглавление!H29</f>
        <v>105450</v>
      </c>
    </row>
    <row r="38" spans="1:4" ht="21.6" customHeight="1">
      <c r="A38" s="16" t="s">
        <v>436</v>
      </c>
      <c r="B38" s="83" t="s">
        <v>98</v>
      </c>
      <c r="C38" s="84"/>
      <c r="D38" s="21">
        <f>227*Оглавление!H29</f>
        <v>125985</v>
      </c>
    </row>
    <row r="39" spans="1:4" ht="12.75" customHeight="1" thickBot="1">
      <c r="A39" s="93"/>
      <c r="B39" s="93"/>
      <c r="C39" s="93"/>
      <c r="D39" s="93"/>
    </row>
    <row r="40" spans="1:4" ht="12.75" customHeight="1" thickBot="1">
      <c r="A40" s="91" t="s">
        <v>578</v>
      </c>
      <c r="B40" s="71"/>
      <c r="C40" s="71"/>
      <c r="D40" s="72"/>
    </row>
    <row r="41" spans="1:4" ht="12.75" customHeight="1">
      <c r="A41" s="29" t="s">
        <v>567</v>
      </c>
      <c r="B41" s="92" t="s">
        <v>590</v>
      </c>
      <c r="C41" s="88"/>
      <c r="D41" s="21">
        <f>1200.5*Оглавление!H29</f>
        <v>666277.5</v>
      </c>
    </row>
    <row r="42" spans="1:4" ht="12.75" customHeight="1"/>
    <row r="43" spans="1:4" ht="12.75" customHeight="1"/>
    <row r="44" spans="1:4" ht="12.75" customHeight="1"/>
    <row r="45" spans="1:4" ht="12.75" customHeight="1"/>
    <row r="46" spans="1:4" ht="12.75" customHeight="1"/>
    <row r="47" spans="1:4" ht="12.75" customHeight="1"/>
    <row r="48" spans="1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</sheetData>
  <mergeCells count="29">
    <mergeCell ref="B6:C6"/>
    <mergeCell ref="B33:C33"/>
    <mergeCell ref="B34:C34"/>
    <mergeCell ref="B7:C7"/>
    <mergeCell ref="A23:D23"/>
    <mergeCell ref="B24:C24"/>
    <mergeCell ref="B25:C25"/>
    <mergeCell ref="B26:C26"/>
    <mergeCell ref="A1:D1"/>
    <mergeCell ref="B2:C2"/>
    <mergeCell ref="A3:D3"/>
    <mergeCell ref="B4:C4"/>
    <mergeCell ref="B5:C5"/>
    <mergeCell ref="A40:D40"/>
    <mergeCell ref="B41:C41"/>
    <mergeCell ref="A39:D39"/>
    <mergeCell ref="A28:D28"/>
    <mergeCell ref="B8:C8"/>
    <mergeCell ref="B9:C9"/>
    <mergeCell ref="A10:D10"/>
    <mergeCell ref="B27:C27"/>
    <mergeCell ref="B35:C35"/>
    <mergeCell ref="B36:C36"/>
    <mergeCell ref="B37:C37"/>
    <mergeCell ref="B38:C38"/>
    <mergeCell ref="B29:C29"/>
    <mergeCell ref="A30:D30"/>
    <mergeCell ref="B31:C31"/>
    <mergeCell ref="B32:C32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586B-5525-435B-893B-91143B494D06}">
  <sheetPr>
    <tabColor theme="9"/>
  </sheetPr>
  <dimension ref="A1:Z1041"/>
  <sheetViews>
    <sheetView topLeftCell="A4" workbookViewId="0">
      <selection activeCell="B7" sqref="B7:C7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>
      <c r="A1" s="67"/>
      <c r="B1" s="64"/>
      <c r="C1" s="64"/>
      <c r="D1" s="64"/>
    </row>
    <row r="2" spans="1:4" ht="20.25" customHeight="1" thickBot="1">
      <c r="A2" s="19" t="s">
        <v>12</v>
      </c>
      <c r="B2" s="68" t="s">
        <v>13</v>
      </c>
      <c r="C2" s="69"/>
      <c r="D2" s="20" t="s">
        <v>45</v>
      </c>
    </row>
    <row r="3" spans="1:4" ht="16.5" customHeight="1" thickBot="1">
      <c r="A3" s="70" t="s">
        <v>149</v>
      </c>
      <c r="B3" s="71"/>
      <c r="C3" s="71"/>
      <c r="D3" s="72"/>
    </row>
    <row r="4" spans="1:4" ht="49.95" customHeight="1" thickBot="1">
      <c r="A4" s="25" t="s">
        <v>460</v>
      </c>
      <c r="B4" s="73" t="s">
        <v>152</v>
      </c>
      <c r="C4" s="74"/>
      <c r="D4" s="14">
        <f>3773*Оглавление!H29</f>
        <v>2094015</v>
      </c>
    </row>
    <row r="5" spans="1:4" ht="57.6" customHeight="1" thickBot="1">
      <c r="A5" s="26" t="s">
        <v>461</v>
      </c>
      <c r="B5" s="75" t="s">
        <v>153</v>
      </c>
      <c r="C5" s="81"/>
      <c r="D5" s="15">
        <f>4973.5*Оглавление!H29</f>
        <v>2760292.5</v>
      </c>
    </row>
    <row r="6" spans="1:4" ht="57.6" customHeight="1" thickBot="1">
      <c r="A6" s="26" t="s">
        <v>565</v>
      </c>
      <c r="B6" s="75" t="s">
        <v>601</v>
      </c>
      <c r="C6" s="81"/>
      <c r="D6" s="15">
        <f>7830.2*Оглавление!H29</f>
        <v>4345761</v>
      </c>
    </row>
    <row r="7" spans="1:4" ht="25.95" customHeight="1" thickBot="1">
      <c r="A7" s="25" t="s">
        <v>462</v>
      </c>
      <c r="B7" s="78" t="s">
        <v>154</v>
      </c>
      <c r="C7" s="79"/>
      <c r="D7" s="14">
        <f>4684.4*Оглавление!H29</f>
        <v>2599842</v>
      </c>
    </row>
    <row r="8" spans="1:4" ht="18.600000000000001" customHeight="1" thickBot="1">
      <c r="A8" s="25" t="s">
        <v>463</v>
      </c>
      <c r="B8" s="78" t="s">
        <v>155</v>
      </c>
      <c r="C8" s="79"/>
      <c r="D8" s="14">
        <f>4116*Оглавление!H29</f>
        <v>2284380</v>
      </c>
    </row>
    <row r="9" spans="1:4" ht="28.2" customHeight="1" thickBot="1">
      <c r="A9" s="25" t="s">
        <v>464</v>
      </c>
      <c r="B9" s="78" t="s">
        <v>156</v>
      </c>
      <c r="C9" s="79"/>
      <c r="D9" s="14">
        <f>4802*Оглавление!H29</f>
        <v>2665110</v>
      </c>
    </row>
    <row r="10" spans="1:4" ht="18.600000000000001" customHeight="1" thickBot="1">
      <c r="A10" s="25" t="s">
        <v>465</v>
      </c>
      <c r="B10" s="78" t="s">
        <v>157</v>
      </c>
      <c r="C10" s="79"/>
      <c r="D10" s="14">
        <f>4684.4*Оглавление!H29</f>
        <v>2599842</v>
      </c>
    </row>
    <row r="11" spans="1:4" ht="28.2" customHeight="1" thickBot="1">
      <c r="A11" s="25" t="s">
        <v>466</v>
      </c>
      <c r="B11" s="78" t="s">
        <v>158</v>
      </c>
      <c r="C11" s="79"/>
      <c r="D11" s="14">
        <f>5370.4*Оглавление!H29</f>
        <v>2980572</v>
      </c>
    </row>
    <row r="12" spans="1:4" ht="13.95" customHeight="1" thickBot="1">
      <c r="A12" s="25" t="s">
        <v>467</v>
      </c>
      <c r="B12" s="78" t="s">
        <v>159</v>
      </c>
      <c r="C12" s="79"/>
      <c r="D12" s="14">
        <f>4802*Оглавление!H29</f>
        <v>2665110</v>
      </c>
    </row>
    <row r="13" spans="1:4" ht="28.2" customHeight="1" thickBot="1">
      <c r="A13" s="25" t="s">
        <v>468</v>
      </c>
      <c r="B13" s="78" t="s">
        <v>160</v>
      </c>
      <c r="C13" s="79"/>
      <c r="D13" s="14">
        <f>5488*Оглавление!H29</f>
        <v>3045840</v>
      </c>
    </row>
    <row r="14" spans="1:4" ht="51.6" customHeight="1" thickBot="1">
      <c r="A14" s="25" t="s">
        <v>469</v>
      </c>
      <c r="B14" s="78" t="s">
        <v>162</v>
      </c>
      <c r="C14" s="79"/>
      <c r="D14" s="14">
        <f>4684.4*Оглавление!H29</f>
        <v>2599842</v>
      </c>
    </row>
    <row r="15" spans="1:4" ht="22.2" customHeight="1" thickBot="1">
      <c r="A15" s="26" t="s">
        <v>470</v>
      </c>
      <c r="B15" s="94" t="s">
        <v>161</v>
      </c>
      <c r="C15" s="95"/>
      <c r="D15" s="15">
        <f>5884.9*Оглавление!H29</f>
        <v>3266119.5</v>
      </c>
    </row>
    <row r="16" spans="1:4" ht="22.2" customHeight="1" thickBot="1">
      <c r="A16" s="26" t="s">
        <v>471</v>
      </c>
      <c r="B16" s="94" t="s">
        <v>163</v>
      </c>
      <c r="C16" s="95"/>
      <c r="D16" s="15">
        <f>5316.5*Оглавление!H29</f>
        <v>2950657.5</v>
      </c>
    </row>
    <row r="17" spans="1:26" ht="22.2" customHeight="1" thickBot="1">
      <c r="A17" s="26" t="s">
        <v>472</v>
      </c>
      <c r="B17" s="94" t="s">
        <v>164</v>
      </c>
      <c r="C17" s="95"/>
      <c r="D17" s="15">
        <f>6002.5*Оглавление!H29</f>
        <v>3331387.5</v>
      </c>
    </row>
    <row r="18" spans="1:26" ht="22.2" customHeight="1" thickBot="1">
      <c r="A18" s="26" t="s">
        <v>473</v>
      </c>
      <c r="B18" s="94" t="s">
        <v>165</v>
      </c>
      <c r="C18" s="95"/>
      <c r="D18" s="15">
        <f>5884.9*Оглавление!H29</f>
        <v>3266119.5</v>
      </c>
    </row>
    <row r="19" spans="1:26" ht="22.2" customHeight="1" thickBot="1">
      <c r="A19" s="26" t="s">
        <v>474</v>
      </c>
      <c r="B19" s="94" t="s">
        <v>165</v>
      </c>
      <c r="C19" s="95"/>
      <c r="D19" s="15">
        <f>6570.9*Оглавление!H29</f>
        <v>3646849.5</v>
      </c>
    </row>
    <row r="20" spans="1:26" ht="22.2" customHeight="1" thickBot="1">
      <c r="A20" s="26" t="s">
        <v>475</v>
      </c>
      <c r="B20" s="94" t="s">
        <v>166</v>
      </c>
      <c r="C20" s="95"/>
      <c r="D20" s="15">
        <f>6002.5*Оглавление!H29</f>
        <v>3331387.5</v>
      </c>
    </row>
    <row r="21" spans="1:26" ht="22.2" customHeight="1" thickBot="1">
      <c r="A21" s="26" t="s">
        <v>476</v>
      </c>
      <c r="B21" s="94" t="s">
        <v>167</v>
      </c>
      <c r="C21" s="95"/>
      <c r="D21" s="15">
        <f>6683.6*Оглавление!H29</f>
        <v>3709398</v>
      </c>
    </row>
    <row r="22" spans="1:26" ht="22.2" customHeight="1" thickBot="1">
      <c r="A22" s="26" t="s">
        <v>477</v>
      </c>
      <c r="B22" s="94" t="s">
        <v>168</v>
      </c>
      <c r="C22" s="95"/>
      <c r="D22" s="15">
        <f>7541.1*Оглавление!H29</f>
        <v>4185310.5</v>
      </c>
    </row>
    <row r="23" spans="1:26" ht="22.2" customHeight="1" thickBot="1">
      <c r="A23" s="26" t="s">
        <v>478</v>
      </c>
      <c r="B23" s="94" t="s">
        <v>169</v>
      </c>
      <c r="C23" s="95"/>
      <c r="D23" s="15">
        <f>7085.4*Оглавление!H29</f>
        <v>3932397</v>
      </c>
    </row>
    <row r="24" spans="1:26" ht="22.2" customHeight="1" thickBot="1">
      <c r="A24" s="26" t="s">
        <v>479</v>
      </c>
      <c r="B24" s="94" t="s">
        <v>170</v>
      </c>
      <c r="C24" s="95"/>
      <c r="D24" s="15">
        <f>7771.4*Оглавление!H29</f>
        <v>4313127</v>
      </c>
    </row>
    <row r="25" spans="1:26" ht="22.2" customHeight="1" thickBot="1">
      <c r="A25" s="26" t="s">
        <v>480</v>
      </c>
      <c r="B25" s="94" t="s">
        <v>171</v>
      </c>
      <c r="C25" s="95"/>
      <c r="D25" s="15">
        <f>8741.6*Оглавление!H29</f>
        <v>4851588</v>
      </c>
    </row>
    <row r="26" spans="1:26" ht="22.2" customHeight="1" thickBot="1">
      <c r="A26" s="26" t="s">
        <v>481</v>
      </c>
      <c r="B26" s="94" t="s">
        <v>172</v>
      </c>
      <c r="C26" s="95"/>
      <c r="D26" s="15">
        <f>8285.9*Оглавление!H29</f>
        <v>4598674.5</v>
      </c>
    </row>
    <row r="27" spans="1:26" ht="22.2" customHeight="1" thickBot="1">
      <c r="A27" s="26" t="s">
        <v>482</v>
      </c>
      <c r="B27" s="94" t="s">
        <v>173</v>
      </c>
      <c r="C27" s="95"/>
      <c r="D27" s="15">
        <f>8971.9*Оглавление!H29</f>
        <v>4979404.5</v>
      </c>
    </row>
    <row r="28" spans="1:26" ht="16.5" customHeight="1" thickBot="1">
      <c r="A28" s="77" t="s">
        <v>14</v>
      </c>
      <c r="B28" s="71"/>
      <c r="C28" s="71"/>
      <c r="D28" s="72"/>
    </row>
    <row r="29" spans="1:26" ht="63.6" customHeight="1">
      <c r="A29" s="42">
        <v>45200</v>
      </c>
      <c r="B29" s="10" t="s">
        <v>17</v>
      </c>
      <c r="C29" s="22" t="s">
        <v>178</v>
      </c>
      <c r="D29" s="21">
        <f>204*Оглавление!H29</f>
        <v>113220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63.6" customHeight="1">
      <c r="A30" s="43">
        <v>45201</v>
      </c>
      <c r="B30" s="8" t="s">
        <v>174</v>
      </c>
      <c r="C30" s="22" t="s">
        <v>595</v>
      </c>
      <c r="D30" s="21">
        <f>153*Оглавление!H29</f>
        <v>84915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63.6" customHeight="1">
      <c r="A31" s="43">
        <v>45202</v>
      </c>
      <c r="B31" s="8" t="s">
        <v>174</v>
      </c>
      <c r="C31" s="23" t="s">
        <v>180</v>
      </c>
      <c r="D31" s="21">
        <f>63*Оглавление!H29</f>
        <v>34965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58.95" customHeight="1">
      <c r="A32" s="43">
        <v>45206</v>
      </c>
      <c r="B32" s="8" t="s">
        <v>175</v>
      </c>
      <c r="C32" s="22" t="s">
        <v>181</v>
      </c>
      <c r="D32" s="21">
        <f>99*Оглавление!H29</f>
        <v>54945</v>
      </c>
      <c r="K32" s="9"/>
    </row>
    <row r="33" spans="1:4" ht="56.4" customHeight="1">
      <c r="A33" s="43">
        <v>45209</v>
      </c>
      <c r="B33" s="8" t="s">
        <v>176</v>
      </c>
      <c r="C33" s="23" t="s">
        <v>182</v>
      </c>
      <c r="D33" s="21">
        <f>263*Оглавление!H29</f>
        <v>145965</v>
      </c>
    </row>
    <row r="34" spans="1:4" ht="64.95" customHeight="1">
      <c r="A34" s="44">
        <v>45210</v>
      </c>
      <c r="B34" s="8" t="s">
        <v>112</v>
      </c>
      <c r="C34" s="23" t="s">
        <v>183</v>
      </c>
      <c r="D34" s="21">
        <f>270*Оглавление!H29</f>
        <v>149850</v>
      </c>
    </row>
    <row r="35" spans="1:4" ht="64.95" customHeight="1">
      <c r="A35" s="44">
        <v>45214</v>
      </c>
      <c r="B35" s="8" t="s">
        <v>177</v>
      </c>
      <c r="C35" s="23" t="s">
        <v>184</v>
      </c>
      <c r="D35" s="21">
        <f>268*Оглавление!H29</f>
        <v>148740</v>
      </c>
    </row>
    <row r="36" spans="1:4" ht="64.95" customHeight="1" thickBot="1">
      <c r="A36" s="44">
        <v>45215</v>
      </c>
      <c r="B36" s="8" t="s">
        <v>16</v>
      </c>
      <c r="C36" s="23" t="s">
        <v>185</v>
      </c>
      <c r="D36" s="21">
        <f>278*Оглавление!H29</f>
        <v>154290</v>
      </c>
    </row>
    <row r="37" spans="1:4" ht="18" customHeight="1" thickBot="1">
      <c r="A37" s="82" t="s">
        <v>187</v>
      </c>
      <c r="B37" s="71"/>
      <c r="C37" s="71"/>
      <c r="D37" s="72"/>
    </row>
    <row r="38" spans="1:4" ht="57" customHeight="1">
      <c r="A38" s="16" t="s">
        <v>448</v>
      </c>
      <c r="B38" s="83" t="s">
        <v>123</v>
      </c>
      <c r="C38" s="84"/>
      <c r="D38" s="21">
        <f>96*Оглавление!H29</f>
        <v>53280</v>
      </c>
    </row>
    <row r="39" spans="1:4" ht="25.2" customHeight="1">
      <c r="A39" s="16" t="s">
        <v>449</v>
      </c>
      <c r="B39" s="83" t="s">
        <v>124</v>
      </c>
      <c r="C39" s="84"/>
      <c r="D39" s="21">
        <f>96*Оглавление!H29</f>
        <v>53280</v>
      </c>
    </row>
    <row r="40" spans="1:4" ht="25.2" customHeight="1">
      <c r="A40" s="16" t="s">
        <v>450</v>
      </c>
      <c r="B40" s="83" t="s">
        <v>125</v>
      </c>
      <c r="C40" s="84"/>
      <c r="D40" s="21">
        <f>179*Оглавление!H29</f>
        <v>99345</v>
      </c>
    </row>
    <row r="41" spans="1:4" ht="29.4" customHeight="1">
      <c r="A41" s="16" t="s">
        <v>451</v>
      </c>
      <c r="B41" s="83" t="s">
        <v>126</v>
      </c>
      <c r="C41" s="84"/>
      <c r="D41" s="21">
        <f>179*Оглавление!H29</f>
        <v>99345</v>
      </c>
    </row>
    <row r="42" spans="1:4" ht="35.4" customHeight="1">
      <c r="A42" s="16" t="s">
        <v>452</v>
      </c>
      <c r="B42" s="83" t="s">
        <v>127</v>
      </c>
      <c r="C42" s="84"/>
      <c r="D42" s="21">
        <f>86.75*Оглавление!H29</f>
        <v>48146.25</v>
      </c>
    </row>
    <row r="43" spans="1:4" ht="35.4" customHeight="1">
      <c r="A43" s="16" t="s">
        <v>453</v>
      </c>
      <c r="B43" s="83" t="s">
        <v>128</v>
      </c>
      <c r="C43" s="84"/>
      <c r="D43" s="21">
        <f>80*Оглавление!H29</f>
        <v>44400</v>
      </c>
    </row>
    <row r="44" spans="1:4" ht="63" customHeight="1">
      <c r="A44" s="16" t="s">
        <v>188</v>
      </c>
      <c r="B44" s="83" t="s">
        <v>190</v>
      </c>
      <c r="C44" s="84"/>
      <c r="D44" s="21">
        <f>76*Оглавление!H29</f>
        <v>42180</v>
      </c>
    </row>
    <row r="45" spans="1:4" ht="64.95" customHeight="1" thickBot="1">
      <c r="A45" s="16" t="s">
        <v>189</v>
      </c>
      <c r="B45" s="83" t="s">
        <v>191</v>
      </c>
      <c r="C45" s="84"/>
      <c r="D45" s="21">
        <f>179*Оглавление!H29</f>
        <v>99345</v>
      </c>
    </row>
    <row r="46" spans="1:4" ht="16.5" customHeight="1" thickBot="1">
      <c r="A46" s="82" t="s">
        <v>186</v>
      </c>
      <c r="B46" s="71"/>
      <c r="C46" s="71"/>
      <c r="D46" s="72"/>
    </row>
    <row r="47" spans="1:4" ht="56.4" customHeight="1">
      <c r="A47" s="16" t="s">
        <v>424</v>
      </c>
      <c r="B47" s="83" t="s">
        <v>85</v>
      </c>
      <c r="C47" s="84"/>
      <c r="D47" s="21">
        <f>91*Оглавление!H29</f>
        <v>50505</v>
      </c>
    </row>
    <row r="48" spans="1:4" ht="54" customHeight="1">
      <c r="A48" s="17" t="s">
        <v>425</v>
      </c>
      <c r="B48" s="83" t="s">
        <v>592</v>
      </c>
      <c r="C48" s="84"/>
      <c r="D48" s="21">
        <f>36.5*Оглавление!H29</f>
        <v>20257.5</v>
      </c>
    </row>
    <row r="49" spans="1:4" ht="27.6" customHeight="1">
      <c r="A49" s="17" t="s">
        <v>426</v>
      </c>
      <c r="B49" s="83" t="s">
        <v>86</v>
      </c>
      <c r="C49" s="84"/>
      <c r="D49" s="21">
        <f>74*Оглавление!H29</f>
        <v>41070</v>
      </c>
    </row>
    <row r="50" spans="1:4" ht="24" customHeight="1" thickBot="1">
      <c r="A50" s="17" t="s">
        <v>427</v>
      </c>
      <c r="B50" s="83" t="s">
        <v>87</v>
      </c>
      <c r="C50" s="84"/>
      <c r="D50" s="21">
        <f>60*Оглавление!H29</f>
        <v>33300</v>
      </c>
    </row>
    <row r="51" spans="1:4" ht="16.5" customHeight="1" thickBot="1">
      <c r="A51" s="82" t="s">
        <v>150</v>
      </c>
      <c r="B51" s="71"/>
      <c r="C51" s="71"/>
      <c r="D51" s="72"/>
    </row>
    <row r="52" spans="1:4" ht="20.25" customHeight="1" thickBot="1">
      <c r="A52" s="17" t="s">
        <v>428</v>
      </c>
      <c r="B52" s="85" t="s">
        <v>214</v>
      </c>
      <c r="C52" s="86"/>
      <c r="D52" s="21">
        <f>884*Оглавление!H29</f>
        <v>490620</v>
      </c>
    </row>
    <row r="53" spans="1:4" ht="12.75" customHeight="1" thickBot="1">
      <c r="A53" s="82" t="s">
        <v>151</v>
      </c>
      <c r="B53" s="71"/>
      <c r="C53" s="71"/>
      <c r="D53" s="72"/>
    </row>
    <row r="54" spans="1:4" ht="57" customHeight="1">
      <c r="A54" s="16" t="s">
        <v>429</v>
      </c>
      <c r="B54" s="83" t="s">
        <v>91</v>
      </c>
      <c r="C54" s="84"/>
      <c r="D54" s="21">
        <f>252*Оглавление!H29</f>
        <v>139860</v>
      </c>
    </row>
    <row r="55" spans="1:4" ht="58.2" customHeight="1">
      <c r="A55" s="24" t="s">
        <v>430</v>
      </c>
      <c r="B55" s="83" t="s">
        <v>92</v>
      </c>
      <c r="C55" s="84"/>
      <c r="D55" s="21">
        <f>252*Оглавление!H29</f>
        <v>139860</v>
      </c>
    </row>
    <row r="56" spans="1:4" ht="12.75" customHeight="1">
      <c r="A56" s="24" t="s">
        <v>431</v>
      </c>
      <c r="B56" s="83" t="s">
        <v>93</v>
      </c>
      <c r="C56" s="84"/>
      <c r="D56" s="21">
        <f>151.25*Оглавление!H29</f>
        <v>83943.75</v>
      </c>
    </row>
    <row r="57" spans="1:4" ht="12.75" customHeight="1">
      <c r="A57" s="24" t="s">
        <v>432</v>
      </c>
      <c r="B57" s="83" t="s">
        <v>94</v>
      </c>
      <c r="C57" s="84"/>
      <c r="D57" s="21">
        <f>83*Оглавление!H29</f>
        <v>46065</v>
      </c>
    </row>
    <row r="58" spans="1:4" ht="12.75" customHeight="1">
      <c r="A58" s="24" t="s">
        <v>433</v>
      </c>
      <c r="B58" s="83" t="s">
        <v>95</v>
      </c>
      <c r="C58" s="84"/>
      <c r="D58" s="21">
        <f>155*Оглавление!H29</f>
        <v>86025</v>
      </c>
    </row>
    <row r="59" spans="1:4" ht="12.75" customHeight="1">
      <c r="A59" s="24" t="s">
        <v>434</v>
      </c>
      <c r="B59" s="83" t="s">
        <v>96</v>
      </c>
      <c r="C59" s="84"/>
      <c r="D59" s="21">
        <f>131.25*Оглавление!H29</f>
        <v>72843.75</v>
      </c>
    </row>
    <row r="60" spans="1:4" ht="12.75" customHeight="1">
      <c r="A60" s="24" t="s">
        <v>435</v>
      </c>
      <c r="B60" s="83" t="s">
        <v>97</v>
      </c>
      <c r="C60" s="84"/>
      <c r="D60" s="21">
        <f>190*Оглавление!H29</f>
        <v>105450</v>
      </c>
    </row>
    <row r="61" spans="1:4" ht="21.6" customHeight="1">
      <c r="A61" s="16" t="s">
        <v>436</v>
      </c>
      <c r="B61" s="83" t="s">
        <v>98</v>
      </c>
      <c r="C61" s="84"/>
      <c r="D61" s="21">
        <f>227*Оглавление!H29</f>
        <v>125985</v>
      </c>
    </row>
    <row r="62" spans="1:4" ht="12.75" customHeight="1"/>
    <row r="63" spans="1:4" ht="12.75" customHeight="1"/>
    <row r="64" spans="1: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</sheetData>
  <mergeCells count="53">
    <mergeCell ref="B61:C61"/>
    <mergeCell ref="B9:C9"/>
    <mergeCell ref="B10:C10"/>
    <mergeCell ref="B11:C11"/>
    <mergeCell ref="B12:C12"/>
    <mergeCell ref="B13:C13"/>
    <mergeCell ref="B14:C14"/>
    <mergeCell ref="B16:C16"/>
    <mergeCell ref="B17:C17"/>
    <mergeCell ref="B18:C18"/>
    <mergeCell ref="B55:C55"/>
    <mergeCell ref="B56:C56"/>
    <mergeCell ref="B57:C57"/>
    <mergeCell ref="B58:C58"/>
    <mergeCell ref="B59:C59"/>
    <mergeCell ref="B23:C23"/>
    <mergeCell ref="B60:C60"/>
    <mergeCell ref="B49:C49"/>
    <mergeCell ref="B50:C50"/>
    <mergeCell ref="A51:D51"/>
    <mergeCell ref="B52:C52"/>
    <mergeCell ref="A53:D53"/>
    <mergeCell ref="B54:C54"/>
    <mergeCell ref="B8:C8"/>
    <mergeCell ref="B15:C15"/>
    <mergeCell ref="A28:D28"/>
    <mergeCell ref="A46:D46"/>
    <mergeCell ref="B47:C47"/>
    <mergeCell ref="A37:D37"/>
    <mergeCell ref="B24:C24"/>
    <mergeCell ref="B25:C25"/>
    <mergeCell ref="B26:C26"/>
    <mergeCell ref="B27:C27"/>
    <mergeCell ref="B39:C39"/>
    <mergeCell ref="B38:C38"/>
    <mergeCell ref="B44:C44"/>
    <mergeCell ref="B45:C45"/>
    <mergeCell ref="B43:C43"/>
    <mergeCell ref="B42:C42"/>
    <mergeCell ref="B48:C48"/>
    <mergeCell ref="B19:C19"/>
    <mergeCell ref="B20:C20"/>
    <mergeCell ref="B21:C21"/>
    <mergeCell ref="B22:C22"/>
    <mergeCell ref="B41:C41"/>
    <mergeCell ref="B40:C40"/>
    <mergeCell ref="B7:C7"/>
    <mergeCell ref="A1:D1"/>
    <mergeCell ref="B2:C2"/>
    <mergeCell ref="A3:D3"/>
    <mergeCell ref="B4:C4"/>
    <mergeCell ref="B5:C5"/>
    <mergeCell ref="B6:C6"/>
  </mergeCells>
  <phoneticPr fontId="16" type="noConversion"/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FDC7-7A5D-4126-A6F1-FD7128A2E682}">
  <sheetPr>
    <tabColor rgb="FF00B050"/>
  </sheetPr>
  <dimension ref="A1:Z1007"/>
  <sheetViews>
    <sheetView topLeftCell="A13" workbookViewId="0">
      <selection activeCell="H23" sqref="H23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26" ht="12.75" customHeight="1" thickBot="1">
      <c r="A1" s="67"/>
      <c r="B1" s="64"/>
      <c r="C1" s="64"/>
      <c r="D1" s="64"/>
    </row>
    <row r="2" spans="1:26" ht="20.25" customHeight="1" thickBot="1">
      <c r="A2" s="19" t="s">
        <v>12</v>
      </c>
      <c r="B2" s="68" t="s">
        <v>13</v>
      </c>
      <c r="C2" s="69"/>
      <c r="D2" s="20" t="s">
        <v>45</v>
      </c>
    </row>
    <row r="3" spans="1:26" ht="16.5" customHeight="1" thickBot="1">
      <c r="A3" s="70" t="s">
        <v>199</v>
      </c>
      <c r="B3" s="71"/>
      <c r="C3" s="71"/>
      <c r="D3" s="72"/>
    </row>
    <row r="4" spans="1:26" ht="49.95" customHeight="1" thickBot="1">
      <c r="A4" s="29" t="s">
        <v>483</v>
      </c>
      <c r="B4" s="92" t="s">
        <v>193</v>
      </c>
      <c r="C4" s="88"/>
      <c r="D4" s="21">
        <f>8570.1*Оглавление!H29</f>
        <v>4756405.5</v>
      </c>
    </row>
    <row r="5" spans="1:26" ht="47.25" customHeight="1" thickBot="1">
      <c r="A5" s="29" t="s">
        <v>484</v>
      </c>
      <c r="B5" s="96" t="s">
        <v>194</v>
      </c>
      <c r="C5" s="79"/>
      <c r="D5" s="21">
        <f>9256.1*Оглавление!H29</f>
        <v>5137135.5</v>
      </c>
    </row>
    <row r="6" spans="1:26" ht="61.95" customHeight="1" thickBot="1">
      <c r="A6" s="29" t="s">
        <v>485</v>
      </c>
      <c r="B6" s="96" t="s">
        <v>195</v>
      </c>
      <c r="C6" s="79"/>
      <c r="D6" s="21">
        <f>9716.7*Оглавление!H29</f>
        <v>5392768.5</v>
      </c>
    </row>
    <row r="7" spans="1:26" ht="16.5" customHeight="1" thickBot="1">
      <c r="A7" s="77" t="s">
        <v>14</v>
      </c>
      <c r="B7" s="71"/>
      <c r="C7" s="71"/>
      <c r="D7" s="72"/>
    </row>
    <row r="8" spans="1:26" ht="63.6" customHeight="1">
      <c r="A8" s="16" t="s">
        <v>486</v>
      </c>
      <c r="B8" s="10" t="s">
        <v>17</v>
      </c>
      <c r="C8" s="22" t="s">
        <v>207</v>
      </c>
      <c r="D8" s="21">
        <f>214.2*Оглавление!H29</f>
        <v>118881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63.6" customHeight="1">
      <c r="A9" s="17" t="s">
        <v>487</v>
      </c>
      <c r="B9" s="8" t="s">
        <v>204</v>
      </c>
      <c r="C9" s="22" t="s">
        <v>206</v>
      </c>
      <c r="D9" s="21">
        <f>169.05*Оглавление!H29</f>
        <v>93822.75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63.6" customHeight="1">
      <c r="A10" s="17" t="s">
        <v>488</v>
      </c>
      <c r="B10" s="8" t="s">
        <v>205</v>
      </c>
      <c r="C10" s="23" t="s">
        <v>203</v>
      </c>
      <c r="D10" s="21">
        <f>6770.35*Оглавление!H29</f>
        <v>3757544.25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58.95" customHeight="1">
      <c r="A11" s="17" t="s">
        <v>489</v>
      </c>
      <c r="B11" s="8" t="s">
        <v>112</v>
      </c>
      <c r="C11" s="22" t="s">
        <v>198</v>
      </c>
      <c r="D11" s="21">
        <f>283.5*Оглавление!H29</f>
        <v>157342.5</v>
      </c>
    </row>
    <row r="12" spans="1:26" ht="56.4" customHeight="1">
      <c r="A12" s="17" t="s">
        <v>490</v>
      </c>
      <c r="B12" s="8" t="s">
        <v>177</v>
      </c>
      <c r="C12" s="23" t="s">
        <v>197</v>
      </c>
      <c r="D12" s="21">
        <f>281.4*Оглавление!H29</f>
        <v>156177</v>
      </c>
    </row>
    <row r="13" spans="1:26" ht="64.95" customHeight="1" thickBot="1">
      <c r="A13" s="12">
        <v>45715</v>
      </c>
      <c r="B13" s="8" t="s">
        <v>16</v>
      </c>
      <c r="C13" s="23" t="s">
        <v>196</v>
      </c>
      <c r="D13" s="21">
        <f>291.9*Оглавление!H29</f>
        <v>162004.5</v>
      </c>
    </row>
    <row r="14" spans="1:26" ht="18" customHeight="1" thickBot="1">
      <c r="A14" s="82" t="s">
        <v>200</v>
      </c>
      <c r="B14" s="71"/>
      <c r="C14" s="71"/>
      <c r="D14" s="72"/>
    </row>
    <row r="15" spans="1:26" ht="57" customHeight="1">
      <c r="A15" s="16" t="s">
        <v>208</v>
      </c>
      <c r="B15" s="83" t="s">
        <v>211</v>
      </c>
      <c r="C15" s="84"/>
      <c r="D15" s="21">
        <f>227*Оглавление!H29</f>
        <v>125985</v>
      </c>
    </row>
    <row r="16" spans="1:26" ht="25.2" customHeight="1">
      <c r="A16" s="16" t="s">
        <v>209</v>
      </c>
      <c r="B16" s="83" t="s">
        <v>212</v>
      </c>
      <c r="C16" s="84"/>
      <c r="D16" s="21">
        <f>376*Оглавление!H29</f>
        <v>208680</v>
      </c>
    </row>
    <row r="17" spans="1:4" ht="39.6" customHeight="1" thickBot="1">
      <c r="A17" s="16" t="s">
        <v>210</v>
      </c>
      <c r="B17" s="83" t="s">
        <v>213</v>
      </c>
      <c r="C17" s="84"/>
      <c r="D17" s="21">
        <f>290*Оглавление!H29</f>
        <v>160950</v>
      </c>
    </row>
    <row r="18" spans="1:4" ht="16.5" customHeight="1" thickBot="1">
      <c r="A18" s="82" t="s">
        <v>201</v>
      </c>
      <c r="B18" s="71"/>
      <c r="C18" s="71"/>
      <c r="D18" s="72"/>
    </row>
    <row r="19" spans="1:4" ht="56.4" customHeight="1" thickBot="1">
      <c r="A19" s="16" t="s">
        <v>541</v>
      </c>
      <c r="B19" s="83" t="s">
        <v>593</v>
      </c>
      <c r="C19" s="84"/>
      <c r="D19" s="21">
        <f>104*Оглавление!H29</f>
        <v>57720</v>
      </c>
    </row>
    <row r="20" spans="1:4" ht="16.5" customHeight="1" thickBot="1">
      <c r="A20" s="82" t="s">
        <v>192</v>
      </c>
      <c r="B20" s="71"/>
      <c r="C20" s="71"/>
      <c r="D20" s="72"/>
    </row>
    <row r="21" spans="1:4" ht="20.25" customHeight="1" thickBot="1">
      <c r="A21" s="17" t="s">
        <v>428</v>
      </c>
      <c r="B21" s="85" t="s">
        <v>214</v>
      </c>
      <c r="C21" s="86"/>
      <c r="D21" s="21">
        <f>884*Оглавление!H29</f>
        <v>490620</v>
      </c>
    </row>
    <row r="22" spans="1:4" ht="12.75" customHeight="1" thickBot="1">
      <c r="A22" s="82" t="s">
        <v>202</v>
      </c>
      <c r="B22" s="71"/>
      <c r="C22" s="71"/>
      <c r="D22" s="72"/>
    </row>
    <row r="23" spans="1:4" ht="12.75" customHeight="1">
      <c r="A23" s="24" t="s">
        <v>432</v>
      </c>
      <c r="B23" s="83" t="s">
        <v>94</v>
      </c>
      <c r="C23" s="84"/>
      <c r="D23" s="21">
        <f>83*Оглавление!H29</f>
        <v>46065</v>
      </c>
    </row>
    <row r="24" spans="1:4" ht="12.75" customHeight="1">
      <c r="A24" s="24" t="s">
        <v>433</v>
      </c>
      <c r="B24" s="83" t="s">
        <v>95</v>
      </c>
      <c r="C24" s="84"/>
      <c r="D24" s="21">
        <f>155*Оглавление!H29</f>
        <v>86025</v>
      </c>
    </row>
    <row r="25" spans="1:4" ht="12.75" customHeight="1">
      <c r="A25" s="24" t="s">
        <v>434</v>
      </c>
      <c r="B25" s="83" t="s">
        <v>96</v>
      </c>
      <c r="C25" s="84"/>
      <c r="D25" s="21">
        <f>131.25*Оглавление!H29</f>
        <v>72843.75</v>
      </c>
    </row>
    <row r="26" spans="1:4" ht="12.75" customHeight="1">
      <c r="A26" s="24" t="s">
        <v>435</v>
      </c>
      <c r="B26" s="83" t="s">
        <v>97</v>
      </c>
      <c r="C26" s="84"/>
      <c r="D26" s="21">
        <f>190*Оглавление!H29</f>
        <v>105450</v>
      </c>
    </row>
    <row r="27" spans="1:4" ht="21.6" customHeight="1">
      <c r="A27" s="16" t="s">
        <v>436</v>
      </c>
      <c r="B27" s="83" t="s">
        <v>98</v>
      </c>
      <c r="C27" s="84"/>
      <c r="D27" s="21">
        <f>227*Оглавление!H29</f>
        <v>125985</v>
      </c>
    </row>
    <row r="28" spans="1:4" ht="12.75" customHeight="1"/>
    <row r="29" spans="1:4" ht="12.75" customHeight="1"/>
    <row r="30" spans="1:4" ht="12.75" customHeight="1"/>
    <row r="31" spans="1:4" ht="12.75" customHeight="1"/>
    <row r="32" spans="1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</sheetData>
  <mergeCells count="21">
    <mergeCell ref="B24:C24"/>
    <mergeCell ref="B25:C25"/>
    <mergeCell ref="B26:C26"/>
    <mergeCell ref="B27:C27"/>
    <mergeCell ref="B21:C21"/>
    <mergeCell ref="A22:D22"/>
    <mergeCell ref="B23:C23"/>
    <mergeCell ref="A20:D20"/>
    <mergeCell ref="B16:C16"/>
    <mergeCell ref="B17:C17"/>
    <mergeCell ref="A7:D7"/>
    <mergeCell ref="A14:D14"/>
    <mergeCell ref="B15:C15"/>
    <mergeCell ref="A18:D18"/>
    <mergeCell ref="B19:C19"/>
    <mergeCell ref="B6:C6"/>
    <mergeCell ref="A1:D1"/>
    <mergeCell ref="B2:C2"/>
    <mergeCell ref="A3:D3"/>
    <mergeCell ref="B4:C4"/>
    <mergeCell ref="B5:C5"/>
  </mergeCells>
  <phoneticPr fontId="16" type="noConversion"/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C4F5-404C-4B71-8EB2-E3E909E56868}">
  <sheetPr>
    <tabColor theme="0" tint="-0.499984740745262"/>
  </sheetPr>
  <dimension ref="A1:Z1025"/>
  <sheetViews>
    <sheetView tabSelected="1" topLeftCell="A10" zoomScale="102" zoomScaleNormal="102" workbookViewId="0">
      <selection activeCell="H16" sqref="H16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>
      <c r="A1" s="67"/>
      <c r="B1" s="64"/>
      <c r="C1" s="64"/>
      <c r="D1" s="64"/>
    </row>
    <row r="2" spans="1:4" ht="20.25" customHeight="1" thickBot="1">
      <c r="A2" s="19" t="s">
        <v>12</v>
      </c>
      <c r="B2" s="68" t="s">
        <v>13</v>
      </c>
      <c r="C2" s="69"/>
      <c r="D2" s="20" t="s">
        <v>45</v>
      </c>
    </row>
    <row r="3" spans="1:4" ht="16.5" customHeight="1" thickBot="1">
      <c r="A3" s="91" t="s">
        <v>337</v>
      </c>
      <c r="B3" s="71"/>
      <c r="C3" s="71"/>
      <c r="D3" s="72"/>
    </row>
    <row r="4" spans="1:4" ht="49.95" customHeight="1" thickBot="1">
      <c r="A4" s="30" t="s">
        <v>491</v>
      </c>
      <c r="B4" s="99" t="s">
        <v>351</v>
      </c>
      <c r="C4" s="100"/>
      <c r="D4" s="31">
        <f>5189.1*Оглавление!H29</f>
        <v>2879950.5</v>
      </c>
    </row>
    <row r="5" spans="1:4" ht="63.6" customHeight="1" thickBot="1">
      <c r="A5" s="32" t="s">
        <v>492</v>
      </c>
      <c r="B5" s="97" t="s">
        <v>338</v>
      </c>
      <c r="C5" s="98"/>
      <c r="D5" s="33">
        <f>6556.2*Оглавление!H29</f>
        <v>3638691</v>
      </c>
    </row>
    <row r="6" spans="1:4" ht="61.2" customHeight="1" thickBot="1">
      <c r="A6" s="30" t="s">
        <v>493</v>
      </c>
      <c r="B6" s="99" t="s">
        <v>339</v>
      </c>
      <c r="C6" s="100"/>
      <c r="D6" s="31">
        <f>6487.6*Оглавление!H29</f>
        <v>3600618</v>
      </c>
    </row>
    <row r="7" spans="1:4" ht="56.4" customHeight="1" thickBot="1">
      <c r="A7" s="30" t="s">
        <v>494</v>
      </c>
      <c r="B7" s="99" t="s">
        <v>405</v>
      </c>
      <c r="C7" s="100"/>
      <c r="D7" s="31">
        <f>6636.56*Оглавление!H29</f>
        <v>3683290.8000000003</v>
      </c>
    </row>
    <row r="8" spans="1:4" ht="56.4" customHeight="1" thickBot="1">
      <c r="A8" s="30" t="s">
        <v>612</v>
      </c>
      <c r="B8" s="99" t="s">
        <v>613</v>
      </c>
      <c r="C8" s="100"/>
      <c r="D8" s="31">
        <f>8437.8*Оглавление!H29</f>
        <v>4682979</v>
      </c>
    </row>
    <row r="9" spans="1:4" ht="56.4" customHeight="1" thickBot="1">
      <c r="A9" s="32" t="s">
        <v>611</v>
      </c>
      <c r="B9" s="97" t="s">
        <v>615</v>
      </c>
      <c r="C9" s="98"/>
      <c r="D9" s="33">
        <f>9804.9*Оглавление!H29</f>
        <v>5441719.5</v>
      </c>
    </row>
    <row r="10" spans="1:4" ht="56.4" customHeight="1" thickBot="1">
      <c r="A10" s="32" t="s">
        <v>610</v>
      </c>
      <c r="B10" s="97" t="s">
        <v>614</v>
      </c>
      <c r="C10" s="98"/>
      <c r="D10" s="33">
        <f>11103.4*Оглавление!H29</f>
        <v>6162387</v>
      </c>
    </row>
    <row r="11" spans="1:4" ht="19.2" customHeight="1" thickBot="1">
      <c r="A11" s="32" t="s">
        <v>495</v>
      </c>
      <c r="B11" s="97" t="s">
        <v>352</v>
      </c>
      <c r="C11" s="98"/>
      <c r="D11" s="33">
        <f>6688.5*Оглавление!H29</f>
        <v>3712117.5</v>
      </c>
    </row>
    <row r="12" spans="1:4" ht="20.399999999999999" customHeight="1" thickBot="1">
      <c r="A12" s="32" t="s">
        <v>496</v>
      </c>
      <c r="B12" s="97" t="s">
        <v>353</v>
      </c>
      <c r="C12" s="98"/>
      <c r="D12" s="33">
        <f>7928.2*Оглавление!H29</f>
        <v>4400151</v>
      </c>
    </row>
    <row r="13" spans="1:4" ht="12.75" customHeight="1" thickBot="1">
      <c r="A13" s="91" t="s">
        <v>608</v>
      </c>
      <c r="B13" s="71"/>
      <c r="C13" s="71"/>
      <c r="D13" s="72"/>
    </row>
    <row r="14" spans="1:4" ht="12.75" customHeight="1" thickBot="1">
      <c r="A14" s="29" t="s">
        <v>568</v>
      </c>
      <c r="B14" s="92" t="s">
        <v>609</v>
      </c>
      <c r="C14" s="88"/>
      <c r="D14" s="21">
        <f>1364.16*Оглавление!H29</f>
        <v>757108.8</v>
      </c>
    </row>
    <row r="15" spans="1:4" ht="12.75" customHeight="1" thickBot="1">
      <c r="A15" s="29" t="s">
        <v>569</v>
      </c>
      <c r="B15" s="92" t="s">
        <v>618</v>
      </c>
      <c r="C15" s="88"/>
      <c r="D15" s="21">
        <f>3248.7*Оглавление!H29</f>
        <v>1803028.5</v>
      </c>
    </row>
    <row r="16" spans="1:4" ht="12.75" customHeight="1" thickBot="1">
      <c r="A16" s="29" t="s">
        <v>570</v>
      </c>
      <c r="B16" s="92" t="s">
        <v>606</v>
      </c>
      <c r="C16" s="88"/>
      <c r="D16" s="21">
        <f>4552.1*Оглавление!H29</f>
        <v>2526415.5</v>
      </c>
    </row>
    <row r="17" spans="1:26" ht="12.75" customHeight="1" thickBot="1">
      <c r="A17" s="52" t="s">
        <v>616</v>
      </c>
      <c r="B17" s="92" t="s">
        <v>617</v>
      </c>
      <c r="C17" s="88"/>
      <c r="D17" s="21">
        <f>1364.16*Оглавление!H29</f>
        <v>757108.8</v>
      </c>
    </row>
    <row r="18" spans="1:26" ht="12.75" customHeight="1" thickBot="1">
      <c r="A18" s="52" t="s">
        <v>602</v>
      </c>
      <c r="B18" s="92" t="s">
        <v>604</v>
      </c>
      <c r="C18" s="88"/>
      <c r="D18" s="21">
        <f>3248.7*Оглавление!H29</f>
        <v>1803028.5</v>
      </c>
    </row>
    <row r="19" spans="1:26" ht="12.75" customHeight="1" thickBot="1">
      <c r="A19" s="52" t="s">
        <v>603</v>
      </c>
      <c r="B19" s="92" t="s">
        <v>605</v>
      </c>
      <c r="C19" s="88"/>
      <c r="D19" s="21">
        <f>4552.1*Оглавление!H29</f>
        <v>2526415.5</v>
      </c>
    </row>
    <row r="20" spans="1:26" ht="20.399999999999999" customHeight="1" thickBot="1">
      <c r="A20" s="53"/>
      <c r="B20" s="54"/>
      <c r="C20" s="55"/>
      <c r="D20" s="56"/>
    </row>
    <row r="21" spans="1:26" ht="16.5" customHeight="1" thickBot="1">
      <c r="A21" s="77" t="s">
        <v>14</v>
      </c>
      <c r="B21" s="71"/>
      <c r="C21" s="71"/>
      <c r="D21" s="72"/>
    </row>
    <row r="22" spans="1:26" ht="63.6" customHeight="1">
      <c r="A22" s="16" t="s">
        <v>497</v>
      </c>
      <c r="B22" s="10" t="s">
        <v>215</v>
      </c>
      <c r="C22" s="22" t="s">
        <v>220</v>
      </c>
      <c r="D22" s="21">
        <f>329*Оглавление!H29</f>
        <v>182595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63.6" customHeight="1">
      <c r="A23" s="17" t="s">
        <v>498</v>
      </c>
      <c r="B23" s="8" t="s">
        <v>15</v>
      </c>
      <c r="C23" s="22" t="s">
        <v>217</v>
      </c>
      <c r="D23" s="21">
        <f>276*Оглавление!H29</f>
        <v>153180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63.6" customHeight="1">
      <c r="A24" s="17" t="s">
        <v>499</v>
      </c>
      <c r="B24" s="8" t="s">
        <v>16</v>
      </c>
      <c r="C24" s="23" t="s">
        <v>218</v>
      </c>
      <c r="D24" s="21">
        <f>329*Оглавление!H29</f>
        <v>182595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63.6" customHeight="1">
      <c r="A25" s="17" t="s">
        <v>500</v>
      </c>
      <c r="B25" s="8" t="s">
        <v>216</v>
      </c>
      <c r="C25" s="23" t="s">
        <v>350</v>
      </c>
      <c r="D25" s="21">
        <f>316*Оглавление!H29</f>
        <v>175380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64.95" customHeight="1" thickBot="1">
      <c r="A26" s="17" t="s">
        <v>501</v>
      </c>
      <c r="B26" s="8" t="s">
        <v>204</v>
      </c>
      <c r="C26" s="23" t="s">
        <v>219</v>
      </c>
      <c r="D26" s="21">
        <f>278*Оглавление!H29</f>
        <v>154290</v>
      </c>
    </row>
    <row r="27" spans="1:26" ht="22.95" customHeight="1" thickBot="1">
      <c r="A27" s="82" t="s">
        <v>340</v>
      </c>
      <c r="B27" s="71"/>
      <c r="C27" s="71"/>
      <c r="D27" s="72"/>
    </row>
    <row r="28" spans="1:26" ht="65.400000000000006" customHeight="1">
      <c r="A28" s="16" t="s">
        <v>502</v>
      </c>
      <c r="B28" s="83" t="s">
        <v>222</v>
      </c>
      <c r="C28" s="84"/>
      <c r="D28" s="21">
        <f>194*Оглавление!H29</f>
        <v>107670</v>
      </c>
    </row>
    <row r="29" spans="1:26" ht="64.95" customHeight="1" thickBot="1">
      <c r="A29" s="16" t="s">
        <v>503</v>
      </c>
      <c r="B29" s="83" t="s">
        <v>223</v>
      </c>
      <c r="C29" s="84"/>
      <c r="D29" s="21">
        <f>533*Оглавление!H29</f>
        <v>295815</v>
      </c>
    </row>
    <row r="30" spans="1:26" ht="18" customHeight="1" thickBot="1">
      <c r="A30" s="77" t="s">
        <v>354</v>
      </c>
      <c r="B30" s="71"/>
      <c r="C30" s="71"/>
      <c r="D30" s="72"/>
    </row>
    <row r="31" spans="1:26" ht="57" customHeight="1">
      <c r="A31" s="16" t="s">
        <v>188</v>
      </c>
      <c r="B31" s="83" t="s">
        <v>190</v>
      </c>
      <c r="C31" s="84"/>
      <c r="D31" s="21">
        <f>76*Оглавление!H29</f>
        <v>42180</v>
      </c>
    </row>
    <row r="32" spans="1:26" ht="57" customHeight="1">
      <c r="A32" s="16" t="s">
        <v>189</v>
      </c>
      <c r="B32" s="83" t="s">
        <v>191</v>
      </c>
      <c r="C32" s="84"/>
      <c r="D32" s="21">
        <f>179*Оглавление!H29</f>
        <v>99345</v>
      </c>
    </row>
    <row r="33" spans="1:4" ht="54.6" customHeight="1">
      <c r="A33" s="16" t="s">
        <v>448</v>
      </c>
      <c r="B33" s="83" t="s">
        <v>226</v>
      </c>
      <c r="C33" s="84"/>
      <c r="D33" s="21">
        <f>96*Оглавление!H29</f>
        <v>53280</v>
      </c>
    </row>
    <row r="34" spans="1:4" ht="53.4" customHeight="1">
      <c r="A34" s="16" t="s">
        <v>449</v>
      </c>
      <c r="B34" s="83" t="s">
        <v>225</v>
      </c>
      <c r="C34" s="84"/>
      <c r="D34" s="21">
        <f>96*Оглавление!H29</f>
        <v>53280</v>
      </c>
    </row>
    <row r="35" spans="1:4" ht="55.2" customHeight="1">
      <c r="A35" s="16" t="s">
        <v>450</v>
      </c>
      <c r="B35" s="83" t="s">
        <v>224</v>
      </c>
      <c r="C35" s="84"/>
      <c r="D35" s="21">
        <f>179*Оглавление!H29</f>
        <v>99345</v>
      </c>
    </row>
    <row r="36" spans="1:4" ht="39.6" customHeight="1">
      <c r="A36" s="16" t="s">
        <v>451</v>
      </c>
      <c r="B36" s="83" t="s">
        <v>227</v>
      </c>
      <c r="C36" s="84"/>
      <c r="D36" s="21">
        <f>179*Оглавление!H29</f>
        <v>99345</v>
      </c>
    </row>
    <row r="37" spans="1:4" ht="39.6" customHeight="1">
      <c r="A37" s="16" t="s">
        <v>452</v>
      </c>
      <c r="B37" s="83" t="s">
        <v>355</v>
      </c>
      <c r="C37" s="84"/>
      <c r="D37" s="21">
        <f>86.75*Оглавление!H29</f>
        <v>48146.25</v>
      </c>
    </row>
    <row r="38" spans="1:4" ht="39.6" customHeight="1">
      <c r="A38" s="16" t="s">
        <v>453</v>
      </c>
      <c r="B38" s="83" t="s">
        <v>356</v>
      </c>
      <c r="C38" s="84"/>
      <c r="D38" s="21">
        <f>80*Оглавление!H29</f>
        <v>44400</v>
      </c>
    </row>
    <row r="39" spans="1:4" ht="39.6" customHeight="1" thickBot="1">
      <c r="A39" s="16" t="s">
        <v>504</v>
      </c>
      <c r="B39" s="83" t="s">
        <v>228</v>
      </c>
      <c r="C39" s="84"/>
      <c r="D39" s="21">
        <f>113*Оглавление!H29</f>
        <v>62715</v>
      </c>
    </row>
    <row r="40" spans="1:4" ht="16.5" customHeight="1" thickBot="1">
      <c r="A40" s="82" t="s">
        <v>341</v>
      </c>
      <c r="B40" s="71"/>
      <c r="C40" s="71"/>
      <c r="D40" s="72"/>
    </row>
    <row r="41" spans="1:4" ht="56.4" customHeight="1">
      <c r="A41" s="16" t="s">
        <v>505</v>
      </c>
      <c r="B41" s="83" t="s">
        <v>231</v>
      </c>
      <c r="C41" s="84"/>
      <c r="D41" s="21">
        <f>87*Оглавление!H29</f>
        <v>48285</v>
      </c>
    </row>
    <row r="42" spans="1:4" ht="54" customHeight="1">
      <c r="A42" s="17" t="s">
        <v>506</v>
      </c>
      <c r="B42" s="83" t="s">
        <v>230</v>
      </c>
      <c r="C42" s="84"/>
      <c r="D42" s="21">
        <f>66.25*Оглавление!H29</f>
        <v>36768.75</v>
      </c>
    </row>
    <row r="43" spans="1:4" ht="27.6" customHeight="1">
      <c r="A43" s="17" t="s">
        <v>426</v>
      </c>
      <c r="B43" s="83" t="s">
        <v>342</v>
      </c>
      <c r="C43" s="84"/>
      <c r="D43" s="21">
        <f>74*Оглавление!H29</f>
        <v>41070</v>
      </c>
    </row>
    <row r="44" spans="1:4" ht="24" customHeight="1">
      <c r="A44" s="17" t="s">
        <v>427</v>
      </c>
      <c r="B44" s="83" t="s">
        <v>343</v>
      </c>
      <c r="C44" s="84"/>
      <c r="D44" s="21">
        <f>60*Оглавление!H29</f>
        <v>33300</v>
      </c>
    </row>
    <row r="45" spans="1:4" ht="24" customHeight="1" thickBot="1">
      <c r="A45" s="18" t="s">
        <v>507</v>
      </c>
      <c r="B45" s="83" t="s">
        <v>229</v>
      </c>
      <c r="C45" s="84"/>
      <c r="D45" s="21">
        <f>41*Оглавление!H29</f>
        <v>22755</v>
      </c>
    </row>
    <row r="46" spans="1:4" ht="16.5" customHeight="1" thickBot="1">
      <c r="A46" s="82" t="s">
        <v>344</v>
      </c>
      <c r="B46" s="71"/>
      <c r="C46" s="71"/>
      <c r="D46" s="72"/>
    </row>
    <row r="47" spans="1:4" ht="20.25" customHeight="1" thickBot="1">
      <c r="A47" s="17" t="s">
        <v>508</v>
      </c>
      <c r="B47" s="85" t="s">
        <v>345</v>
      </c>
      <c r="C47" s="86"/>
      <c r="D47" s="21">
        <f>994*Оглавление!H29</f>
        <v>551670</v>
      </c>
    </row>
    <row r="48" spans="1:4" ht="12.75" customHeight="1" thickBot="1">
      <c r="A48" s="82" t="s">
        <v>346</v>
      </c>
      <c r="B48" s="71"/>
      <c r="C48" s="71"/>
      <c r="D48" s="72"/>
    </row>
    <row r="49" spans="1:4" ht="12.75" customHeight="1">
      <c r="A49" s="24" t="s">
        <v>435</v>
      </c>
      <c r="B49" s="83" t="s">
        <v>97</v>
      </c>
      <c r="C49" s="84"/>
      <c r="D49" s="21">
        <f>190*Оглавление!H29</f>
        <v>105450</v>
      </c>
    </row>
    <row r="50" spans="1:4" ht="21.6" customHeight="1">
      <c r="A50" s="16" t="s">
        <v>436</v>
      </c>
      <c r="B50" s="83" t="s">
        <v>98</v>
      </c>
      <c r="C50" s="84"/>
      <c r="D50" s="21">
        <f>227*Оглавление!H29</f>
        <v>125985</v>
      </c>
    </row>
    <row r="51" spans="1:4" ht="49.95" customHeight="1">
      <c r="A51" s="16" t="s">
        <v>509</v>
      </c>
      <c r="B51" s="83" t="s">
        <v>232</v>
      </c>
      <c r="C51" s="84"/>
      <c r="D51" s="21">
        <f>1053.25*Оглавление!H29</f>
        <v>584553.75</v>
      </c>
    </row>
    <row r="52" spans="1:4" ht="12.75" customHeight="1" thickBot="1">
      <c r="A52" s="93"/>
      <c r="B52" s="93"/>
      <c r="C52" s="93"/>
      <c r="D52" s="93"/>
    </row>
    <row r="53" spans="1:4" ht="12.75" customHeight="1" thickBot="1">
      <c r="A53" s="91" t="s">
        <v>577</v>
      </c>
      <c r="B53" s="71"/>
      <c r="C53" s="71"/>
      <c r="D53" s="72"/>
    </row>
    <row r="54" spans="1:4" ht="12.75" customHeight="1" thickBot="1">
      <c r="A54" s="29" t="s">
        <v>568</v>
      </c>
      <c r="B54" s="92" t="s">
        <v>587</v>
      </c>
      <c r="C54" s="88"/>
      <c r="D54" s="21">
        <f>1364.16*Оглавление!H29</f>
        <v>757108.8</v>
      </c>
    </row>
    <row r="55" spans="1:4" ht="12.75" customHeight="1" thickBot="1">
      <c r="A55" s="29" t="s">
        <v>569</v>
      </c>
      <c r="B55" s="92" t="s">
        <v>588</v>
      </c>
      <c r="C55" s="88"/>
      <c r="D55" s="21">
        <f>3248.7*Оглавление!H29</f>
        <v>1803028.5</v>
      </c>
    </row>
    <row r="56" spans="1:4" ht="12.75" customHeight="1" thickBot="1">
      <c r="A56" s="29" t="s">
        <v>570</v>
      </c>
      <c r="B56" s="92" t="s">
        <v>589</v>
      </c>
      <c r="C56" s="88"/>
      <c r="D56" s="21">
        <f>4552.1*Оглавление!H29</f>
        <v>2526415.5</v>
      </c>
    </row>
    <row r="57" spans="1:4" ht="12.75" customHeight="1" thickBot="1">
      <c r="A57" s="52" t="s">
        <v>602</v>
      </c>
      <c r="B57" s="92" t="s">
        <v>604</v>
      </c>
      <c r="C57" s="88"/>
      <c r="D57" s="21">
        <f>3248.7*Оглавление!H29</f>
        <v>1803028.5</v>
      </c>
    </row>
    <row r="58" spans="1:4" ht="12.75" customHeight="1">
      <c r="A58" s="52" t="s">
        <v>603</v>
      </c>
      <c r="B58" s="92" t="s">
        <v>605</v>
      </c>
      <c r="C58" s="88"/>
      <c r="D58" s="21">
        <f>4552.1*Оглавление!H29</f>
        <v>2526415.5</v>
      </c>
    </row>
    <row r="59" spans="1:4" ht="12.75" customHeight="1"/>
    <row r="60" spans="1:4" ht="12.75" customHeight="1"/>
    <row r="61" spans="1:4" ht="12.75" customHeight="1"/>
    <row r="62" spans="1:4" ht="12.75" customHeight="1"/>
    <row r="63" spans="1:4" ht="12.75" customHeight="1"/>
    <row r="64" spans="1: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</sheetData>
  <mergeCells count="52">
    <mergeCell ref="B51:C51"/>
    <mergeCell ref="A27:D27"/>
    <mergeCell ref="B28:C28"/>
    <mergeCell ref="B29:C29"/>
    <mergeCell ref="B34:C34"/>
    <mergeCell ref="B35:C35"/>
    <mergeCell ref="B36:C36"/>
    <mergeCell ref="B37:C37"/>
    <mergeCell ref="B38:C38"/>
    <mergeCell ref="A40:D40"/>
    <mergeCell ref="A48:D48"/>
    <mergeCell ref="B49:C49"/>
    <mergeCell ref="B50:C50"/>
    <mergeCell ref="B41:C41"/>
    <mergeCell ref="B42:C42"/>
    <mergeCell ref="B43:C43"/>
    <mergeCell ref="B45:C45"/>
    <mergeCell ref="B6:C6"/>
    <mergeCell ref="B7:C7"/>
    <mergeCell ref="B11:C11"/>
    <mergeCell ref="B12:C12"/>
    <mergeCell ref="B39:C39"/>
    <mergeCell ref="A21:D21"/>
    <mergeCell ref="A30:D30"/>
    <mergeCell ref="B31:C31"/>
    <mergeCell ref="B32:C32"/>
    <mergeCell ref="B33:C33"/>
    <mergeCell ref="A1:D1"/>
    <mergeCell ref="B2:C2"/>
    <mergeCell ref="A3:D3"/>
    <mergeCell ref="B5:C5"/>
    <mergeCell ref="B44:C44"/>
    <mergeCell ref="B9:C9"/>
    <mergeCell ref="B10:C10"/>
    <mergeCell ref="B8:C8"/>
    <mergeCell ref="B4:C4"/>
    <mergeCell ref="B57:C57"/>
    <mergeCell ref="B58:C58"/>
    <mergeCell ref="A13:D13"/>
    <mergeCell ref="B14:C14"/>
    <mergeCell ref="B15:C15"/>
    <mergeCell ref="B16:C16"/>
    <mergeCell ref="B18:C18"/>
    <mergeCell ref="B19:C19"/>
    <mergeCell ref="B17:C17"/>
    <mergeCell ref="A53:D53"/>
    <mergeCell ref="B54:C54"/>
    <mergeCell ref="B55:C55"/>
    <mergeCell ref="B56:C56"/>
    <mergeCell ref="A52:D52"/>
    <mergeCell ref="A46:D46"/>
    <mergeCell ref="B47:C47"/>
  </mergeCells>
  <phoneticPr fontId="16" type="noConversion"/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789A5-B6AC-4349-8414-84C88F1FC112}">
  <sheetPr>
    <tabColor theme="8" tint="0.39997558519241921"/>
  </sheetPr>
  <dimension ref="A1:Z1031"/>
  <sheetViews>
    <sheetView topLeftCell="A43" workbookViewId="0">
      <selection activeCell="D47" sqref="D47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2.75" customHeight="1" thickBot="1">
      <c r="A1" s="67"/>
      <c r="B1" s="64"/>
      <c r="C1" s="64"/>
      <c r="D1" s="64"/>
    </row>
    <row r="2" spans="1:4" ht="20.25" customHeight="1" thickBot="1">
      <c r="A2" s="19" t="s">
        <v>12</v>
      </c>
      <c r="B2" s="68" t="s">
        <v>13</v>
      </c>
      <c r="C2" s="69"/>
      <c r="D2" s="20" t="s">
        <v>45</v>
      </c>
    </row>
    <row r="3" spans="1:4" ht="16.5" customHeight="1" thickBot="1">
      <c r="A3" s="70" t="s">
        <v>233</v>
      </c>
      <c r="B3" s="71"/>
      <c r="C3" s="71"/>
      <c r="D3" s="72"/>
    </row>
    <row r="4" spans="1:4" ht="49.95" customHeight="1" thickBot="1">
      <c r="A4" s="30" t="s">
        <v>510</v>
      </c>
      <c r="B4" s="99" t="s">
        <v>238</v>
      </c>
      <c r="C4" s="100"/>
      <c r="D4" s="31">
        <f>5659.5*Оглавление!H29</f>
        <v>3141022.5</v>
      </c>
    </row>
    <row r="5" spans="1:4" ht="66" customHeight="1" thickBot="1">
      <c r="A5" s="32" t="s">
        <v>511</v>
      </c>
      <c r="B5" s="97" t="s">
        <v>234</v>
      </c>
      <c r="C5" s="98"/>
      <c r="D5" s="33">
        <f>6845.3*Оглавление!H29</f>
        <v>3799141.5</v>
      </c>
    </row>
    <row r="6" spans="1:4" ht="61.2" customHeight="1" thickBot="1">
      <c r="A6" s="30" t="s">
        <v>512</v>
      </c>
      <c r="B6" s="99" t="s">
        <v>237</v>
      </c>
      <c r="C6" s="100"/>
      <c r="D6" s="31">
        <f>5953.5*Оглавление!H29</f>
        <v>3304192.5</v>
      </c>
    </row>
    <row r="7" spans="1:4" ht="49.95" customHeight="1" thickBot="1">
      <c r="A7" s="30" t="s">
        <v>513</v>
      </c>
      <c r="B7" s="99" t="s">
        <v>240</v>
      </c>
      <c r="C7" s="100"/>
      <c r="D7" s="31">
        <f>6453.3*Оглавление!H29</f>
        <v>3581581.5</v>
      </c>
    </row>
    <row r="8" spans="1:4" ht="47.4" customHeight="1" thickBot="1">
      <c r="A8" s="30" t="s">
        <v>514</v>
      </c>
      <c r="B8" s="99" t="s">
        <v>235</v>
      </c>
      <c r="C8" s="100"/>
      <c r="D8" s="31">
        <f>7129.5*Оглавление!H29</f>
        <v>3956872.5</v>
      </c>
    </row>
    <row r="9" spans="1:4" ht="46.95" customHeight="1" thickBot="1">
      <c r="A9" s="30" t="s">
        <v>515</v>
      </c>
      <c r="B9" s="99" t="s">
        <v>236</v>
      </c>
      <c r="C9" s="100"/>
      <c r="D9" s="31">
        <f>7227.5*Оглавление!H29</f>
        <v>4011262.5</v>
      </c>
    </row>
    <row r="10" spans="1:4" ht="46.95" customHeight="1" thickBot="1">
      <c r="A10" s="30" t="s">
        <v>516</v>
      </c>
      <c r="B10" s="99" t="s">
        <v>245</v>
      </c>
      <c r="C10" s="100"/>
      <c r="D10" s="31">
        <f>9623.6*Оглавление!H29</f>
        <v>5341098</v>
      </c>
    </row>
    <row r="11" spans="1:4" ht="46.95" customHeight="1" thickBot="1">
      <c r="A11" s="30" t="s">
        <v>517</v>
      </c>
      <c r="B11" s="99" t="s">
        <v>246</v>
      </c>
      <c r="C11" s="100"/>
      <c r="D11" s="31">
        <f>10412.5*Оглавление!H29</f>
        <v>5778937.5</v>
      </c>
    </row>
    <row r="12" spans="1:4" ht="46.2" customHeight="1" thickBot="1">
      <c r="A12" s="32" t="s">
        <v>511</v>
      </c>
      <c r="B12" s="97" t="s">
        <v>239</v>
      </c>
      <c r="C12" s="98"/>
      <c r="D12" s="33">
        <f>6845.3*Оглавление!H29</f>
        <v>3799141.5</v>
      </c>
    </row>
    <row r="13" spans="1:4" ht="48" customHeight="1" thickBot="1">
      <c r="A13" s="32" t="s">
        <v>518</v>
      </c>
      <c r="B13" s="97" t="s">
        <v>241</v>
      </c>
      <c r="C13" s="98"/>
      <c r="D13" s="33">
        <f>8315.3*Оглавление!H29</f>
        <v>4614991.5</v>
      </c>
    </row>
    <row r="14" spans="1:4" ht="48" customHeight="1" thickBot="1">
      <c r="A14" s="32" t="s">
        <v>519</v>
      </c>
      <c r="B14" s="97" t="s">
        <v>242</v>
      </c>
      <c r="C14" s="98"/>
      <c r="D14" s="33">
        <f>7139.3*Оглавление!H29</f>
        <v>3962311.5</v>
      </c>
    </row>
    <row r="15" spans="1:4" ht="57.6" customHeight="1" thickBot="1">
      <c r="A15" s="32" t="s">
        <v>520</v>
      </c>
      <c r="B15" s="97" t="s">
        <v>243</v>
      </c>
      <c r="C15" s="98"/>
      <c r="D15" s="33">
        <f>8413.3*Оглавление!H29</f>
        <v>4669381.5</v>
      </c>
    </row>
    <row r="16" spans="1:4" ht="48.6" customHeight="1" thickBot="1">
      <c r="A16" s="32" t="s">
        <v>521</v>
      </c>
      <c r="B16" s="97" t="s">
        <v>244</v>
      </c>
      <c r="C16" s="98"/>
      <c r="D16" s="33">
        <f>7639.1*Оглавление!H29</f>
        <v>4239700.5</v>
      </c>
    </row>
    <row r="17" spans="1:26" ht="48.6" customHeight="1" thickBot="1">
      <c r="A17" s="32" t="s">
        <v>522</v>
      </c>
      <c r="B17" s="97" t="s">
        <v>247</v>
      </c>
      <c r="C17" s="98"/>
      <c r="D17" s="33">
        <f>10809.4*Оглавление!H29</f>
        <v>5999217</v>
      </c>
    </row>
    <row r="18" spans="1:26" ht="57.6" customHeight="1" thickBot="1">
      <c r="A18" s="32" t="s">
        <v>523</v>
      </c>
      <c r="B18" s="97" t="s">
        <v>248</v>
      </c>
      <c r="C18" s="98"/>
      <c r="D18" s="33">
        <f>11603.2*Оглавление!H29</f>
        <v>6439776</v>
      </c>
    </row>
    <row r="19" spans="1:26" ht="57.6" customHeight="1" thickBot="1">
      <c r="A19" s="32" t="s">
        <v>524</v>
      </c>
      <c r="B19" s="97" t="s">
        <v>249</v>
      </c>
      <c r="C19" s="98"/>
      <c r="D19" s="33">
        <f>11377.8*Оглавление!H29</f>
        <v>6314679</v>
      </c>
    </row>
    <row r="20" spans="1:26" ht="51.6" customHeight="1" thickBot="1">
      <c r="A20" s="32" t="s">
        <v>525</v>
      </c>
      <c r="B20" s="97" t="s">
        <v>250</v>
      </c>
      <c r="C20" s="98"/>
      <c r="D20" s="33">
        <f>12171.6*Оглавление!H29</f>
        <v>6755238</v>
      </c>
    </row>
    <row r="21" spans="1:26" ht="18.600000000000001" customHeight="1" thickBot="1">
      <c r="A21" s="70" t="s">
        <v>259</v>
      </c>
      <c r="B21" s="71"/>
      <c r="C21" s="71"/>
      <c r="D21" s="72"/>
    </row>
    <row r="22" spans="1:26" ht="23.4" customHeight="1" thickBot="1">
      <c r="A22" s="29" t="s">
        <v>526</v>
      </c>
      <c r="B22" s="92" t="s">
        <v>251</v>
      </c>
      <c r="C22" s="88"/>
      <c r="D22" s="21">
        <f>1189.72*Оглавление!H29</f>
        <v>660294.6</v>
      </c>
    </row>
    <row r="23" spans="1:26" ht="18" customHeight="1" thickBot="1">
      <c r="A23" s="29" t="s">
        <v>527</v>
      </c>
      <c r="B23" s="92" t="s">
        <v>252</v>
      </c>
      <c r="C23" s="88"/>
      <c r="D23" s="21">
        <f>3964.1*Оглавление!H29</f>
        <v>2200075.5</v>
      </c>
    </row>
    <row r="24" spans="1:26" ht="18" customHeight="1" thickBot="1">
      <c r="A24" s="29" t="s">
        <v>528</v>
      </c>
      <c r="B24" s="92" t="s">
        <v>253</v>
      </c>
      <c r="C24" s="88"/>
      <c r="D24" s="21">
        <f>4532.5*Оглавление!H29</f>
        <v>2515537.5</v>
      </c>
    </row>
    <row r="25" spans="1:26" ht="18" customHeight="1" thickBot="1">
      <c r="A25" s="29" t="s">
        <v>529</v>
      </c>
      <c r="B25" s="92" t="s">
        <v>254</v>
      </c>
      <c r="C25" s="88"/>
      <c r="D25" s="21">
        <f>793.8*Оглавление!H29</f>
        <v>440559</v>
      </c>
    </row>
    <row r="26" spans="1:26" ht="15.6" customHeight="1" thickBot="1">
      <c r="A26" s="29" t="s">
        <v>530</v>
      </c>
      <c r="B26" s="92" t="s">
        <v>255</v>
      </c>
      <c r="C26" s="88"/>
      <c r="D26" s="21">
        <f>907.48*Оглавление!H29</f>
        <v>503651.4</v>
      </c>
    </row>
    <row r="27" spans="1:26" ht="13.2" customHeight="1" thickBot="1">
      <c r="A27" s="29" t="s">
        <v>531</v>
      </c>
      <c r="B27" s="92" t="s">
        <v>256</v>
      </c>
      <c r="C27" s="88"/>
      <c r="D27" s="21">
        <f>1020.18*Оглавление!H29</f>
        <v>566199.9</v>
      </c>
    </row>
    <row r="28" spans="1:26" ht="16.95" customHeight="1" thickBot="1">
      <c r="A28" s="29" t="s">
        <v>532</v>
      </c>
      <c r="B28" s="92" t="s">
        <v>257</v>
      </c>
      <c r="C28" s="88"/>
      <c r="D28" s="21">
        <f>1020.18*Оглавление!H29</f>
        <v>566199.9</v>
      </c>
    </row>
    <row r="29" spans="1:26" ht="16.95" customHeight="1" thickBot="1">
      <c r="A29" s="29" t="s">
        <v>533</v>
      </c>
      <c r="B29" s="96" t="s">
        <v>258</v>
      </c>
      <c r="C29" s="79"/>
      <c r="D29" s="21">
        <f>907.48*Оглавление!H29</f>
        <v>503651.4</v>
      </c>
    </row>
    <row r="30" spans="1:26" ht="15.6" customHeight="1" thickBot="1">
      <c r="A30" s="77" t="s">
        <v>268</v>
      </c>
      <c r="B30" s="71"/>
      <c r="C30" s="71"/>
      <c r="D30" s="72"/>
    </row>
    <row r="31" spans="1:26" ht="63.6" customHeight="1">
      <c r="A31" s="16" t="s">
        <v>534</v>
      </c>
      <c r="B31" s="10" t="s">
        <v>15</v>
      </c>
      <c r="C31" s="22" t="s">
        <v>260</v>
      </c>
      <c r="D31" s="21">
        <f>388*Оглавление!H29</f>
        <v>215340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63.6" customHeight="1">
      <c r="A32" s="16" t="s">
        <v>535</v>
      </c>
      <c r="B32" s="10" t="s">
        <v>16</v>
      </c>
      <c r="C32" s="22" t="s">
        <v>261</v>
      </c>
      <c r="D32" s="21">
        <f>376*Оглавление!H29</f>
        <v>208680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63.6" customHeight="1">
      <c r="A33" s="16" t="s">
        <v>536</v>
      </c>
      <c r="B33" s="8" t="s">
        <v>18</v>
      </c>
      <c r="C33" s="23" t="s">
        <v>262</v>
      </c>
      <c r="D33" s="21">
        <f>442*Оглавление!H29</f>
        <v>245310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58.95" customHeight="1">
      <c r="A34" s="16" t="s">
        <v>537</v>
      </c>
      <c r="B34" s="8" t="s">
        <v>216</v>
      </c>
      <c r="C34" s="22" t="s">
        <v>263</v>
      </c>
      <c r="D34" s="21">
        <f>369*Оглавление!H29</f>
        <v>204795</v>
      </c>
      <c r="K34" s="9"/>
    </row>
    <row r="35" spans="1:26" ht="56.4" customHeight="1" thickBot="1">
      <c r="A35" s="16" t="s">
        <v>538</v>
      </c>
      <c r="B35" s="8" t="s">
        <v>204</v>
      </c>
      <c r="C35" s="23" t="s">
        <v>219</v>
      </c>
      <c r="D35" s="21">
        <f>266*Оглавление!H29</f>
        <v>147630</v>
      </c>
      <c r="K35" s="9"/>
    </row>
    <row r="36" spans="1:26" ht="22.95" customHeight="1" thickBot="1">
      <c r="A36" s="82" t="s">
        <v>221</v>
      </c>
      <c r="B36" s="71"/>
      <c r="C36" s="71"/>
      <c r="D36" s="72"/>
    </row>
    <row r="37" spans="1:26" ht="65.400000000000006" customHeight="1">
      <c r="A37" s="16" t="s">
        <v>539</v>
      </c>
      <c r="B37" s="83" t="s">
        <v>222</v>
      </c>
      <c r="C37" s="84"/>
      <c r="D37" s="21">
        <f>185*Оглавление!H29</f>
        <v>102675</v>
      </c>
    </row>
    <row r="38" spans="1:26" ht="64.95" customHeight="1" thickBot="1">
      <c r="A38" s="16" t="s">
        <v>540</v>
      </c>
      <c r="B38" s="83" t="s">
        <v>223</v>
      </c>
      <c r="C38" s="84"/>
      <c r="D38" s="21">
        <f>538*Оглавление!H29</f>
        <v>298590</v>
      </c>
    </row>
    <row r="39" spans="1:26" ht="18" customHeight="1" thickBot="1">
      <c r="A39" s="82" t="s">
        <v>264</v>
      </c>
      <c r="B39" s="71"/>
      <c r="C39" s="71"/>
      <c r="D39" s="72"/>
    </row>
    <row r="40" spans="1:26" ht="57" customHeight="1">
      <c r="A40" s="16" t="s">
        <v>208</v>
      </c>
      <c r="B40" s="83" t="s">
        <v>269</v>
      </c>
      <c r="C40" s="84"/>
      <c r="D40" s="21">
        <f>227*Оглавление!H29</f>
        <v>125985</v>
      </c>
    </row>
    <row r="41" spans="1:26" ht="57" customHeight="1">
      <c r="A41" s="16" t="s">
        <v>209</v>
      </c>
      <c r="B41" s="83" t="s">
        <v>270</v>
      </c>
      <c r="C41" s="84"/>
      <c r="D41" s="21">
        <f>376*Оглавление!H29</f>
        <v>208680</v>
      </c>
    </row>
    <row r="42" spans="1:26" ht="54.6" customHeight="1" thickBot="1">
      <c r="A42" s="16" t="s">
        <v>210</v>
      </c>
      <c r="B42" s="83" t="s">
        <v>271</v>
      </c>
      <c r="C42" s="84"/>
      <c r="D42" s="21">
        <f>290*Оглавление!H29</f>
        <v>160950</v>
      </c>
    </row>
    <row r="43" spans="1:26" ht="16.5" customHeight="1" thickBot="1">
      <c r="A43" s="82" t="s">
        <v>265</v>
      </c>
      <c r="B43" s="71"/>
      <c r="C43" s="71"/>
      <c r="D43" s="72"/>
    </row>
    <row r="44" spans="1:26" ht="54" customHeight="1">
      <c r="A44" s="17" t="s">
        <v>506</v>
      </c>
      <c r="B44" s="83" t="s">
        <v>230</v>
      </c>
      <c r="C44" s="84"/>
      <c r="D44" s="21">
        <f>66.25*Оглавление!H29</f>
        <v>36768.75</v>
      </c>
    </row>
    <row r="45" spans="1:26" ht="27.6" customHeight="1">
      <c r="A45" s="17" t="s">
        <v>426</v>
      </c>
      <c r="B45" s="83" t="s">
        <v>86</v>
      </c>
      <c r="C45" s="84"/>
      <c r="D45" s="21">
        <f>74*Оглавление!H29</f>
        <v>41070</v>
      </c>
    </row>
    <row r="46" spans="1:26" ht="24" customHeight="1">
      <c r="A46" s="17" t="s">
        <v>427</v>
      </c>
      <c r="B46" s="83" t="s">
        <v>87</v>
      </c>
      <c r="C46" s="84"/>
      <c r="D46" s="21">
        <f>60*Оглавление!H29</f>
        <v>33300</v>
      </c>
    </row>
    <row r="47" spans="1:26" ht="24" customHeight="1" thickBot="1">
      <c r="A47" s="18" t="s">
        <v>541</v>
      </c>
      <c r="B47" s="83" t="s">
        <v>273</v>
      </c>
      <c r="C47" s="84"/>
      <c r="D47" s="21">
        <f>104*Оглавление!H29</f>
        <v>57720</v>
      </c>
    </row>
    <row r="48" spans="1:26" ht="16.5" customHeight="1" thickBot="1">
      <c r="A48" s="82" t="s">
        <v>266</v>
      </c>
      <c r="B48" s="71"/>
      <c r="C48" s="71"/>
      <c r="D48" s="72"/>
    </row>
    <row r="49" spans="1:4" ht="20.25" customHeight="1" thickBot="1">
      <c r="A49" s="17" t="s">
        <v>542</v>
      </c>
      <c r="B49" s="85" t="s">
        <v>272</v>
      </c>
      <c r="C49" s="86"/>
      <c r="D49" s="21">
        <f>1459.5*Оглавление!H29</f>
        <v>810022.5</v>
      </c>
    </row>
    <row r="50" spans="1:4" ht="12.75" customHeight="1" thickBot="1">
      <c r="A50" s="82" t="s">
        <v>267</v>
      </c>
      <c r="B50" s="71"/>
      <c r="C50" s="71"/>
      <c r="D50" s="72"/>
    </row>
    <row r="51" spans="1:4" ht="12.75" customHeight="1">
      <c r="A51" s="24" t="s">
        <v>435</v>
      </c>
      <c r="B51" s="83" t="s">
        <v>97</v>
      </c>
      <c r="C51" s="84"/>
      <c r="D51" s="21">
        <f>190*Оглавление!H29</f>
        <v>105450</v>
      </c>
    </row>
    <row r="52" spans="1:4" ht="21.6" customHeight="1">
      <c r="A52" s="16" t="s">
        <v>436</v>
      </c>
      <c r="B52" s="83" t="s">
        <v>98</v>
      </c>
      <c r="C52" s="84"/>
      <c r="D52" s="21">
        <f>227*Оглавление!H29</f>
        <v>125985</v>
      </c>
    </row>
    <row r="53" spans="1:4" ht="49.95" customHeight="1" thickBot="1">
      <c r="A53" s="16" t="s">
        <v>509</v>
      </c>
      <c r="B53" s="83" t="s">
        <v>232</v>
      </c>
      <c r="C53" s="84"/>
      <c r="D53" s="21">
        <f>1053.25*Оглавление!H29</f>
        <v>584553.75</v>
      </c>
    </row>
    <row r="54" spans="1:4" ht="12.75" customHeight="1" thickBot="1">
      <c r="B54" s="92"/>
      <c r="C54" s="88"/>
    </row>
    <row r="55" spans="1:4" ht="12.75" customHeight="1" thickBot="1">
      <c r="A55" s="70" t="s">
        <v>259</v>
      </c>
      <c r="B55" s="71"/>
      <c r="C55" s="71"/>
      <c r="D55" s="72"/>
    </row>
    <row r="56" spans="1:4" ht="12.75" customHeight="1" thickBot="1">
      <c r="A56" s="29" t="s">
        <v>526</v>
      </c>
      <c r="B56" s="92" t="s">
        <v>579</v>
      </c>
      <c r="C56" s="88"/>
      <c r="D56" s="21">
        <f>1189.72*Оглавление!H29</f>
        <v>660294.6</v>
      </c>
    </row>
    <row r="57" spans="1:4" ht="12.75" customHeight="1" thickBot="1">
      <c r="A57" s="29" t="s">
        <v>527</v>
      </c>
      <c r="B57" s="92" t="s">
        <v>580</v>
      </c>
      <c r="C57" s="88"/>
      <c r="D57" s="21">
        <f>3964.1*Оглавление!H29</f>
        <v>2200075.5</v>
      </c>
    </row>
    <row r="58" spans="1:4" ht="12.75" customHeight="1" thickBot="1">
      <c r="A58" s="29" t="s">
        <v>528</v>
      </c>
      <c r="B58" s="92" t="s">
        <v>581</v>
      </c>
      <c r="C58" s="88"/>
      <c r="D58" s="21">
        <f>4532.5*Оглавление!H29</f>
        <v>2515537.5</v>
      </c>
    </row>
    <row r="59" spans="1:4" ht="12.75" customHeight="1" thickBot="1">
      <c r="A59" s="29" t="s">
        <v>529</v>
      </c>
      <c r="B59" s="92" t="s">
        <v>582</v>
      </c>
      <c r="C59" s="88"/>
      <c r="D59" s="21">
        <f>793.8*Оглавление!H29</f>
        <v>440559</v>
      </c>
    </row>
    <row r="60" spans="1:4" ht="12.75" customHeight="1" thickBot="1">
      <c r="A60" s="29" t="s">
        <v>530</v>
      </c>
      <c r="B60" s="92" t="s">
        <v>583</v>
      </c>
      <c r="C60" s="88"/>
      <c r="D60" s="21">
        <f>907.48*Оглавление!H29</f>
        <v>503651.4</v>
      </c>
    </row>
    <row r="61" spans="1:4" ht="12.75" customHeight="1" thickBot="1">
      <c r="A61" s="29" t="s">
        <v>531</v>
      </c>
      <c r="B61" s="92" t="s">
        <v>584</v>
      </c>
      <c r="C61" s="88"/>
      <c r="D61" s="21">
        <f>1020.18*Оглавление!H29</f>
        <v>566199.9</v>
      </c>
    </row>
    <row r="62" spans="1:4" ht="12.75" customHeight="1" thickBot="1">
      <c r="A62" s="29" t="s">
        <v>532</v>
      </c>
      <c r="B62" s="92" t="s">
        <v>585</v>
      </c>
      <c r="C62" s="88"/>
      <c r="D62" s="21">
        <f>1020.18*Оглавление!H29</f>
        <v>566199.9</v>
      </c>
    </row>
    <row r="63" spans="1:4" ht="12.75" customHeight="1">
      <c r="A63" s="29" t="s">
        <v>533</v>
      </c>
      <c r="B63" s="96" t="s">
        <v>586</v>
      </c>
      <c r="C63" s="79"/>
      <c r="D63" s="21">
        <f>907.48*Оглавление!H29</f>
        <v>503651.4</v>
      </c>
    </row>
    <row r="64" spans="1: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</sheetData>
  <mergeCells count="58">
    <mergeCell ref="A36:D36"/>
    <mergeCell ref="B37:C37"/>
    <mergeCell ref="B38:C38"/>
    <mergeCell ref="A39:D39"/>
    <mergeCell ref="B40:C40"/>
    <mergeCell ref="B53:C53"/>
    <mergeCell ref="A50:D50"/>
    <mergeCell ref="B51:C51"/>
    <mergeCell ref="B52:C52"/>
    <mergeCell ref="B41:C41"/>
    <mergeCell ref="B47:C47"/>
    <mergeCell ref="A48:D48"/>
    <mergeCell ref="B49:C49"/>
    <mergeCell ref="A43:D43"/>
    <mergeCell ref="B44:C44"/>
    <mergeCell ref="B45:C45"/>
    <mergeCell ref="B46:C46"/>
    <mergeCell ref="B42:C42"/>
    <mergeCell ref="B19:C19"/>
    <mergeCell ref="B20:C20"/>
    <mergeCell ref="B22:C22"/>
    <mergeCell ref="B29:C29"/>
    <mergeCell ref="A30:D30"/>
    <mergeCell ref="A21:D21"/>
    <mergeCell ref="B23:C23"/>
    <mergeCell ref="B24:C24"/>
    <mergeCell ref="B25:C25"/>
    <mergeCell ref="B26:C26"/>
    <mergeCell ref="B27:C27"/>
    <mergeCell ref="B28:C28"/>
    <mergeCell ref="B18:C1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7:C7"/>
    <mergeCell ref="B8:C8"/>
    <mergeCell ref="A1:D1"/>
    <mergeCell ref="B2:C2"/>
    <mergeCell ref="A3:D3"/>
    <mergeCell ref="B4:C4"/>
    <mergeCell ref="B5:C5"/>
    <mergeCell ref="B6:C6"/>
    <mergeCell ref="B60:C60"/>
    <mergeCell ref="B61:C61"/>
    <mergeCell ref="B62:C62"/>
    <mergeCell ref="B63:C63"/>
    <mergeCell ref="B54:C54"/>
    <mergeCell ref="A55:D55"/>
    <mergeCell ref="B56:C56"/>
    <mergeCell ref="B57:C57"/>
    <mergeCell ref="B58:C58"/>
    <mergeCell ref="B59:C59"/>
  </mergeCells>
  <phoneticPr fontId="16" type="noConversion"/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480D6-4E4F-46FD-B57A-409A39E1C287}">
  <sheetPr>
    <tabColor theme="7" tint="0.59999389629810485"/>
  </sheetPr>
  <dimension ref="A1:D858"/>
  <sheetViews>
    <sheetView workbookViewId="0">
      <selection activeCell="H24" sqref="H24"/>
    </sheetView>
  </sheetViews>
  <sheetFormatPr defaultColWidth="14.44140625" defaultRowHeight="15" customHeight="1"/>
  <cols>
    <col min="1" max="1" width="18.44140625" customWidth="1"/>
    <col min="2" max="2" width="19.6640625" customWidth="1"/>
    <col min="3" max="3" width="78" customWidth="1"/>
    <col min="4" max="4" width="11.44140625" customWidth="1"/>
    <col min="5" max="6" width="8.88671875" customWidth="1"/>
    <col min="7" max="26" width="8" customWidth="1"/>
  </cols>
  <sheetData>
    <row r="1" spans="1:4" ht="18.600000000000001" customHeight="1" thickBot="1">
      <c r="A1" s="70" t="s">
        <v>259</v>
      </c>
      <c r="B1" s="71"/>
      <c r="C1" s="71"/>
      <c r="D1" s="72"/>
    </row>
    <row r="2" spans="1:4" ht="23.4" customHeight="1" thickBot="1">
      <c r="A2" s="29" t="s">
        <v>526</v>
      </c>
      <c r="B2" s="92" t="s">
        <v>579</v>
      </c>
      <c r="C2" s="88"/>
      <c r="D2" s="21">
        <f>1189.72*Оглавление!H29</f>
        <v>660294.6</v>
      </c>
    </row>
    <row r="3" spans="1:4" ht="18" customHeight="1" thickBot="1">
      <c r="A3" s="29" t="s">
        <v>527</v>
      </c>
      <c r="B3" s="92" t="s">
        <v>580</v>
      </c>
      <c r="C3" s="88"/>
      <c r="D3" s="21">
        <f>3964.1*Оглавление!H29</f>
        <v>2200075.5</v>
      </c>
    </row>
    <row r="4" spans="1:4" ht="18" customHeight="1" thickBot="1">
      <c r="A4" s="29" t="s">
        <v>528</v>
      </c>
      <c r="B4" s="92" t="s">
        <v>581</v>
      </c>
      <c r="C4" s="88"/>
      <c r="D4" s="21">
        <f>4532.5*Оглавление!H29</f>
        <v>2515537.5</v>
      </c>
    </row>
    <row r="5" spans="1:4" ht="18" customHeight="1" thickBot="1">
      <c r="A5" s="29" t="s">
        <v>529</v>
      </c>
      <c r="B5" s="92" t="s">
        <v>582</v>
      </c>
      <c r="C5" s="88"/>
      <c r="D5" s="21">
        <f>793.8*Оглавление!H29</f>
        <v>440559</v>
      </c>
    </row>
    <row r="6" spans="1:4" ht="15.6" customHeight="1" thickBot="1">
      <c r="A6" s="29" t="s">
        <v>530</v>
      </c>
      <c r="B6" s="92" t="s">
        <v>583</v>
      </c>
      <c r="C6" s="88"/>
      <c r="D6" s="21">
        <f>907.48*Оглавление!H29</f>
        <v>503651.4</v>
      </c>
    </row>
    <row r="7" spans="1:4" ht="13.2" customHeight="1" thickBot="1">
      <c r="A7" s="29" t="s">
        <v>531</v>
      </c>
      <c r="B7" s="92" t="s">
        <v>584</v>
      </c>
      <c r="C7" s="88"/>
      <c r="D7" s="21">
        <f>1020.18*Оглавление!H29</f>
        <v>566199.9</v>
      </c>
    </row>
    <row r="8" spans="1:4" ht="16.95" customHeight="1" thickBot="1">
      <c r="A8" s="29" t="s">
        <v>532</v>
      </c>
      <c r="B8" s="92" t="s">
        <v>585</v>
      </c>
      <c r="C8" s="88"/>
      <c r="D8" s="21">
        <f>1020.18*Оглавление!H29</f>
        <v>566199.9</v>
      </c>
    </row>
    <row r="9" spans="1:4" ht="16.95" customHeight="1">
      <c r="A9" s="29" t="s">
        <v>533</v>
      </c>
      <c r="B9" s="96" t="s">
        <v>586</v>
      </c>
      <c r="C9" s="79"/>
      <c r="D9" s="21">
        <f>907.48*Оглавление!H29</f>
        <v>503651.4</v>
      </c>
    </row>
    <row r="10" spans="1:4" ht="12.75" customHeight="1" thickBot="1">
      <c r="B10" s="93"/>
      <c r="C10" s="93"/>
    </row>
    <row r="11" spans="1:4" ht="12.75" customHeight="1" thickBot="1">
      <c r="A11" s="91" t="s">
        <v>577</v>
      </c>
      <c r="B11" s="71"/>
      <c r="C11" s="71"/>
      <c r="D11" s="72"/>
    </row>
    <row r="12" spans="1:4" ht="12.75" customHeight="1" thickBot="1">
      <c r="A12" s="29" t="s">
        <v>568</v>
      </c>
      <c r="B12" s="92" t="s">
        <v>609</v>
      </c>
      <c r="C12" s="88"/>
      <c r="D12" s="21">
        <f>1364.16*Оглавление!H29</f>
        <v>757108.8</v>
      </c>
    </row>
    <row r="13" spans="1:4" ht="12.75" customHeight="1" thickBot="1">
      <c r="A13" s="29" t="s">
        <v>569</v>
      </c>
      <c r="B13" s="92" t="s">
        <v>607</v>
      </c>
      <c r="C13" s="88"/>
      <c r="D13" s="21">
        <f>3248.7*Оглавление!H29</f>
        <v>1803028.5</v>
      </c>
    </row>
    <row r="14" spans="1:4" ht="12.75" customHeight="1" thickBot="1">
      <c r="A14" s="29" t="s">
        <v>570</v>
      </c>
      <c r="B14" s="92" t="s">
        <v>606</v>
      </c>
      <c r="C14" s="88"/>
      <c r="D14" s="21">
        <f>4552.1*Оглавление!H29</f>
        <v>2526415.5</v>
      </c>
    </row>
    <row r="15" spans="1:4" ht="12.75" customHeight="1" thickBot="1">
      <c r="A15" s="52" t="s">
        <v>616</v>
      </c>
      <c r="B15" s="92" t="s">
        <v>617</v>
      </c>
      <c r="C15" s="88"/>
      <c r="D15" s="21">
        <f>1364.16*Оглавление!H29</f>
        <v>757108.8</v>
      </c>
    </row>
    <row r="16" spans="1:4" ht="12.75" customHeight="1" thickBot="1">
      <c r="A16" s="52" t="s">
        <v>602</v>
      </c>
      <c r="B16" s="92" t="s">
        <v>604</v>
      </c>
      <c r="C16" s="88"/>
      <c r="D16" s="21">
        <f>3248.7*Оглавление!H29</f>
        <v>1803028.5</v>
      </c>
    </row>
    <row r="17" spans="1:4" ht="12.75" customHeight="1">
      <c r="A17" s="52" t="s">
        <v>603</v>
      </c>
      <c r="B17" s="92" t="s">
        <v>605</v>
      </c>
      <c r="C17" s="88"/>
      <c r="D17" s="21">
        <f>4552.1*Оглавление!H29</f>
        <v>2526415.5</v>
      </c>
    </row>
    <row r="18" spans="1:4" ht="12.75" customHeight="1" thickBot="1">
      <c r="B18" s="93"/>
      <c r="C18" s="93"/>
    </row>
    <row r="19" spans="1:4" ht="12.75" customHeight="1" thickBot="1">
      <c r="A19" s="91" t="s">
        <v>578</v>
      </c>
      <c r="B19" s="71"/>
      <c r="C19" s="71"/>
      <c r="D19" s="72"/>
    </row>
    <row r="20" spans="1:4" ht="12.75" customHeight="1">
      <c r="A20" s="29" t="s">
        <v>567</v>
      </c>
      <c r="B20" s="92" t="s">
        <v>590</v>
      </c>
      <c r="C20" s="88"/>
      <c r="D20" s="21">
        <f>1200.5*Оглавление!H29</f>
        <v>666277.5</v>
      </c>
    </row>
    <row r="21" spans="1:4" ht="12.75" customHeight="1"/>
    <row r="22" spans="1:4" ht="12.75" customHeight="1"/>
    <row r="23" spans="1:4" ht="12.75" customHeight="1"/>
    <row r="24" spans="1:4" ht="12.75" customHeight="1"/>
    <row r="25" spans="1:4" ht="12.75" customHeight="1"/>
    <row r="26" spans="1:4" ht="12.75" customHeight="1"/>
    <row r="27" spans="1:4" ht="12.75" customHeight="1"/>
    <row r="28" spans="1:4" ht="12.75" customHeight="1"/>
    <row r="29" spans="1:4" ht="12.75" customHeight="1"/>
    <row r="30" spans="1:4" ht="12.75" customHeight="1"/>
    <row r="31" spans="1:4" ht="12.75" customHeight="1"/>
    <row r="32" spans="1: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</sheetData>
  <mergeCells count="20">
    <mergeCell ref="B20:C20"/>
    <mergeCell ref="B10:C10"/>
    <mergeCell ref="A19:D19"/>
    <mergeCell ref="B18:C18"/>
    <mergeCell ref="A11:D11"/>
    <mergeCell ref="B12:C12"/>
    <mergeCell ref="B13:C13"/>
    <mergeCell ref="B14:C14"/>
    <mergeCell ref="B16:C16"/>
    <mergeCell ref="B17:C17"/>
    <mergeCell ref="B15:C15"/>
    <mergeCell ref="B7:C7"/>
    <mergeCell ref="B8:C8"/>
    <mergeCell ref="B9:C9"/>
    <mergeCell ref="A1:D1"/>
    <mergeCell ref="B2:C2"/>
    <mergeCell ref="B4:C4"/>
    <mergeCell ref="B5:C5"/>
    <mergeCell ref="B6:C6"/>
    <mergeCell ref="B3:C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Оглавление</vt:lpstr>
      <vt:lpstr>DTC1250e</vt:lpstr>
      <vt:lpstr>DTC1500</vt:lpstr>
      <vt:lpstr>DTC4250e</vt:lpstr>
      <vt:lpstr>DTC4500e</vt:lpstr>
      <vt:lpstr>5500LMX</vt:lpstr>
      <vt:lpstr>HDP5000e</vt:lpstr>
      <vt:lpstr>HDP6600</vt:lpstr>
      <vt:lpstr>Доп. модули</vt:lpstr>
      <vt:lpstr>Печат.головки</vt:lpstr>
      <vt:lpstr>ПО Asure ID</vt:lpstr>
      <vt:lpstr>Полноцв. и монохром. ленты</vt:lpstr>
      <vt:lpstr>Несущие ленты</vt:lpstr>
      <vt:lpstr>Ламинац. ленты</vt:lpstr>
      <vt:lpstr>Чистящие комплекты</vt:lpstr>
      <vt:lpstr>Карты и наклейки</vt:lpstr>
      <vt:lpstr>Полный 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Aksenov</dc:creator>
  <cp:lastModifiedBy>Security Smart</cp:lastModifiedBy>
  <dcterms:created xsi:type="dcterms:W3CDTF">2006-03-09T10:15:51Z</dcterms:created>
  <dcterms:modified xsi:type="dcterms:W3CDTF">2025-03-31T07:40:38Z</dcterms:modified>
</cp:coreProperties>
</file>